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Datos" state="visible" r:id="rId5"/>
    <sheet sheetId="3" name="Enero" state="visible" r:id="rId6"/>
    <sheet sheetId="4" name="Febrero" state="visible" r:id="rId7"/>
    <sheet sheetId="5" name="Marzo" state="visible" r:id="rId8"/>
    <sheet sheetId="6" name="Abril" state="visible" r:id="rId9"/>
    <sheet sheetId="7" name="Mayo" state="visible" r:id="rId10"/>
    <sheet sheetId="8" name="Junio" state="visible" r:id="rId11"/>
    <sheet sheetId="9" name="Julio" state="visible" r:id="rId12"/>
    <sheet sheetId="10" name="Agosto" state="visible" r:id="rId13"/>
    <sheet sheetId="11" name="Setiembre" state="visible" r:id="rId14"/>
    <sheet sheetId="12" name="Octubre" state="visible" r:id="rId15"/>
    <sheet sheetId="13" name="Noviembre" state="visible" r:id="rId16"/>
    <sheet sheetId="14" name="Diciembre" state="visible" r:id="rId17"/>
    <sheet sheetId="15" name="Feriados" state="visible" r:id="rId18"/>
    <sheet sheetId="16" name="Listas" state="hidden" r:id="rId19"/>
  </sheets>
  <calcPr calcId="171027" fullCalcOnLoad="1"/>
</workbook>
</file>

<file path=xl/sharedStrings.xml><?xml version="1.0" encoding="utf-8"?>
<sst xmlns="http://schemas.openxmlformats.org/spreadsheetml/2006/main" count="446" uniqueCount="109">
  <si>
    <t>EnTurno</t>
  </si>
  <si>
    <t>Registro de control de asistencia</t>
  </si>
  <si>
    <t>Plantilla ilustrativa: verifica los resultados con tu área de planilla. EnTurno no calcula la planilla.</t>
  </si>
  <si>
    <t>Qué es</t>
  </si>
  <si>
    <t>El D.S. 004-2006-TR obliga al empleador a llevar un registro de control de asistencia, manual o electrónico, en el que el trabajador registra personalmente su ingreso y su salida. Esta plantilla es un registro manual en Excel: un archivo por trabajador y una hoja por mes.</t>
  </si>
  <si>
    <t>Qué datos lleva</t>
  </si>
  <si>
    <t>Empleador y RUC, nombre y documento de identidad del trabajador, y por cada día la fecha y la hora y los minutos de ingreso y de salida. La plantilla agrega el refrigerio y las horas sobre la jornada: el sobretiempo también debe quedar registrado.</t>
  </si>
  <si>
    <t>Cómo llenarla</t>
  </si>
  <si>
    <t xml:space="preserve">• En «Datos», escribe el empleador, el RUC, el trabajador, su documento, la jornada diaria pactada y el año.
• En cada mes, el trabajador escribe la hora de ingreso, la salida y el regreso del refrigerio y la hora de salida, como 07:58. Las fechas, los días y los feriados aparecen solos.
• Las columnas grises se calculan: refrigerio, horas trabajadas, horas sobre la jornada y «Revisar» (falta una marcación o el refrigerio fue menor a 45 minutos).
• «Observaciones» es para lo que explica una diferencia: un permiso, un descanso médico, el sobretiempo autorizado.</t>
  </si>
  <si>
    <t>Refrigerio</t>
  </si>
  <si>
    <t>El refrigerio dura al menos 45 minutos y no forma parte de la jornada, salvo pacto en contrario (D.S. 008-2002-TR). Por eso las horas trabajadas son el tiempo entre el ingreso y la salida, menos el refrigerio.</t>
  </si>
  <si>
    <t>Horas sobre la jornada</t>
  </si>
  <si>
    <t>Es el tiempo trabajado que pasa la jornada diaria pactada. No toda hora sobre la jornada es sobretiempo: el sobretiempo es voluntario y lo autoriza el empleador (TUO del D. Leg. 854). Anota en «Observaciones» si fue autorizado.</t>
  </si>
  <si>
    <t>Conservación</t>
  </si>
  <si>
    <t>El empleador conserva el registro cinco años y lo pone a disposición de SUNAFIL y del propio trabajador.</t>
  </si>
  <si>
    <t>Feriados</t>
  </si>
  <si>
    <t>Están cargados los feriados nacionales de 2026 y 2027. El año se cambia en «Datos»; para un año sin feriados cargados, agrégalos en la hoja «Feriados».</t>
  </si>
  <si>
    <t>enturno.pe — Software de turnos y asistencia para empresas del Perú</t>
  </si>
  <si>
    <t>Plantilla gratuita · ilustrativa · verifica con tu área de planilla</t>
  </si>
  <si>
    <t>https://enturno.pe/plantillas/registro-de-control-de-asistencia</t>
  </si>
  <si>
    <t>Versión 2026-10-09 · normas revisadas el 9 de octubre de 2026 · RMV S/ 1,230</t>
  </si>
  <si>
    <t>Datos del registro</t>
  </si>
  <si>
    <r>
      <rPr>
        <color rgb="FF5D5F6B"/>
        <sz val="10"/>
      </rPr>
      <t>Escribe estos datos una vez: aparecen en la cabecera de cada mes. Un archivo por trabajador.</t>
    </r>
    <r>
      <rPr>
        <i/>
        <color rgb="FF7A2415"/>
        <sz val="10"/>
      </rPr>
      <t xml:space="preserve">
Plantilla ilustrativa: verifica los resultados con tu área de planilla. EnTurno no calcula la planilla.</t>
    </r>
  </si>
  <si>
    <t>Empleador (nombre o razón social)</t>
  </si>
  <si>
    <t>RUC del empleador</t>
  </si>
  <si>
    <t>Trabajador (apellidos y nombres)</t>
  </si>
  <si>
    <t>Documento de identidad (tipo y número)</t>
  </si>
  <si>
    <t>Jornada diaria pactada (horas)</t>
  </si>
  <si>
    <t>Año del registro</t>
  </si>
  <si>
    <t>Los feriados de 2026 y 2027 ya están cargados en la hoja «Feriados». Para otro año, agrega sus feriados allí.</t>
  </si>
  <si>
    <t>Registro de control de asistencia — Enero</t>
  </si>
  <si>
    <r>
      <rPr>
        <color rgb="FF5D5F6B"/>
        <sz val="10"/>
      </rPr>
      <t>El trabajador registra personalmente su ingreso y su salida (D.S. 004-2006-TR). Escribe las horas como 07:58; las columnas grises se calculan solas.</t>
    </r>
    <r>
      <rPr>
        <i/>
        <color rgb="FF7A2415"/>
        <sz val="10"/>
      </rPr>
      <t xml:space="preserve">
Plantilla ilustrativa: verifica los resultados con tu área de planilla. EnTurno no calcula la planilla.</t>
    </r>
  </si>
  <si>
    <t>Empleador</t>
  </si>
  <si>
    <t>RUC</t>
  </si>
  <si>
    <t>Trabajador</t>
  </si>
  <si>
    <t>Documento</t>
  </si>
  <si>
    <t>Mes</t>
  </si>
  <si>
    <t>Enero</t>
  </si>
  <si>
    <t>Año</t>
  </si>
  <si>
    <t>Jornada (h)</t>
  </si>
  <si>
    <t>Fecha</t>
  </si>
  <si>
    <t>Día</t>
  </si>
  <si>
    <t>Ingreso</t>
  </si>
  <si>
    <t>Salida a refrigerio</t>
  </si>
  <si>
    <t>Regreso de refrigerio</t>
  </si>
  <si>
    <t>Salida</t>
  </si>
  <si>
    <t>Horas trabajadas</t>
  </si>
  <si>
    <t>Revisar</t>
  </si>
  <si>
    <t>Observaciones</t>
  </si>
  <si>
    <t>Firma del trabajador</t>
  </si>
  <si>
    <t>Total</t>
  </si>
  <si>
    <t>Registro de control de asistencia — Febrero</t>
  </si>
  <si>
    <t>Febrero</t>
  </si>
  <si>
    <t>Registro de control de asistencia — Marzo</t>
  </si>
  <si>
    <t>Marzo</t>
  </si>
  <si>
    <t>Registro de control de asistencia — Abril</t>
  </si>
  <si>
    <t>Abril</t>
  </si>
  <si>
    <t>Registro de control de asistencia — Mayo</t>
  </si>
  <si>
    <t>Mayo</t>
  </si>
  <si>
    <t>Registro de control de asistencia — Junio</t>
  </si>
  <si>
    <t>Junio</t>
  </si>
  <si>
    <t>Registro de control de asistencia — Julio</t>
  </si>
  <si>
    <t>Julio</t>
  </si>
  <si>
    <t>Registro de control de asistencia — Agosto</t>
  </si>
  <si>
    <t>Agosto</t>
  </si>
  <si>
    <t>Registro de control de asistencia — Setiembre</t>
  </si>
  <si>
    <t>Setiembre</t>
  </si>
  <si>
    <t>Registro de control de asistencia — Octubre</t>
  </si>
  <si>
    <t>Octubre</t>
  </si>
  <si>
    <t>Registro de control de asistencia — Noviembre</t>
  </si>
  <si>
    <t>Noviembre</t>
  </si>
  <si>
    <t>Registro de control de asistencia — Diciembre</t>
  </si>
  <si>
    <t>Diciembre</t>
  </si>
  <si>
    <t>Feriados nacionales</t>
  </si>
  <si>
    <r>
      <rPr>
        <color rgb="FF5D5F6B"/>
        <sz val="10"/>
      </rPr>
      <t>Los feriados nacionales de 2026 y 2027 (D. Leg. 713, art. 6, y sus modificatorias). 2027 repite las fechas fijas de ley y mueve la Semana Santa: Jueves Santo 25 y Viernes Santo 26 de marzo. Si se aprueba un feriado nuevo, agrégalo en las filas en blanco: las demás hojas lo leen de aquí.</t>
    </r>
    <r>
      <rPr>
        <i/>
        <color rgb="FF7A2415"/>
        <sz val="10"/>
      </rPr>
      <t xml:space="preserve">
Plantilla ilustrativa: verifica los resultados con tu área de planilla. EnTurno no calcula la planilla.</t>
    </r>
  </si>
  <si>
    <t>Feriado</t>
  </si>
  <si>
    <t>Nota</t>
  </si>
  <si>
    <t>Año Nuevo</t>
  </si>
  <si>
    <t>Jueves Santo</t>
  </si>
  <si>
    <t>Viernes Santo</t>
  </si>
  <si>
    <t>Día del Trabajo</t>
  </si>
  <si>
    <t>Batalla de Arica y Día de la Bandera</t>
  </si>
  <si>
    <t>San Pedro y San Pablo</t>
  </si>
  <si>
    <t>Día de la Fuerza Aérea del Perú</t>
  </si>
  <si>
    <t>Fiestas Patrias</t>
  </si>
  <si>
    <t>Batalla de Junín</t>
  </si>
  <si>
    <t>Santa Rosa de Lima</t>
  </si>
  <si>
    <t>Combate de Angamos</t>
  </si>
  <si>
    <t>Día de Todos los Santos</t>
  </si>
  <si>
    <t>Inmaculada Concepción</t>
  </si>
  <si>
    <t>Batalla de Ayacucho</t>
  </si>
  <si>
    <t>Navidad</t>
  </si>
  <si>
    <t>Fecha movible: Domingo de Pascua 28 de marzo</t>
  </si>
  <si>
    <t>Corto</t>
  </si>
  <si>
    <t>Inicio de mes</t>
  </si>
  <si>
    <t>domingo</t>
  </si>
  <si>
    <t>dom</t>
  </si>
  <si>
    <t>lunes</t>
  </si>
  <si>
    <t>lun</t>
  </si>
  <si>
    <t>martes</t>
  </si>
  <si>
    <t>mar</t>
  </si>
  <si>
    <t>miércoles</t>
  </si>
  <si>
    <t>mié</t>
  </si>
  <si>
    <t>jueves</t>
  </si>
  <si>
    <t>jue</t>
  </si>
  <si>
    <t>viernes</t>
  </si>
  <si>
    <t>vie</t>
  </si>
  <si>
    <t>sábado</t>
  </si>
  <si>
    <t>sáb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</si>
</sst>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##"/>
    <numFmt numFmtId="165" formatCode="dd/mm/yyyy"/>
    <numFmt numFmtId="166" formatCode="hh:mm"/>
    <numFmt numFmtId="167" formatCode="[h]:mm"/>
  </numFmts>
  <fonts count="14" x14ac:knownFonts="1">
    <font>
      <color theme="1"/>
      <family val="2"/>
      <scheme val="minor"/>
      <sz val="11"/>
      <name val="Calibri"/>
    </font>
    <font>
      <b/>
      <color rgb="FF2B2F55"/>
      <sz val="20"/>
    </font>
    <font>
      <b/>
      <color rgb="FF2B2F55"/>
      <sz val="14"/>
    </font>
    <font>
      <b/>
      <color rgb="FF7A2415"/>
      <sz val="11"/>
    </font>
    <font>
      <b/>
      <color rgb="FF2B2F55"/>
      <sz val="12"/>
    </font>
    <font>
      <sz val="11"/>
    </font>
    <font>
      <b/>
      <color rgb="FF2B2F55"/>
      <sz val="9"/>
    </font>
    <font>
      <i/>
      <color rgb="FF5D5F6B"/>
      <sz val="9"/>
    </font>
    <font>
      <u/>
      <color rgb="FF2B2F55"/>
      <sz val="9"/>
    </font>
    <font>
      <color rgb="FF5D5F6B"/>
      <sz val="10"/>
    </font>
    <font>
      <b/>
      <sz val="11"/>
    </font>
    <font>
      <b/>
    </font>
    <font>
      <b/>
      <color rgb="FFFFFFFF"/>
      <sz val="10"/>
    </font>
    <font>
      <color rgb="FF7A2415"/>
      <sz val="10"/>
    </font>
  </fonts>
  <fills count="5">
    <fill>
      <patternFill patternType="none"/>
    </fill>
    <fill>
      <patternFill patternType="gray125"/>
    </fill>
    <fill>
      <patternFill patternType="solid">
        <fgColor rgb="FFF6F5F0"/>
      </patternFill>
    </fill>
    <fill>
      <patternFill patternType="solid">
        <fgColor rgb="FF2B2F55"/>
      </patternFill>
    </fill>
    <fill>
      <patternFill patternType="solid">
        <fgColor rgb="FFF1F0EB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D91023"/>
      </bottom>
      <diagonal/>
    </border>
    <border>
      <left style="thin">
        <color rgb="FFDDDCD4"/>
      </left>
      <right style="thin">
        <color rgb="FFDDDCD4"/>
      </right>
      <top style="thin">
        <color rgb="FFDDDCD4"/>
      </top>
      <bottom style="thin">
        <color rgb="FFDDDCD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vertical="center" indent="3"/>
    </xf>
    <xf numFmtId="0" fontId="2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vertical="top" wrapText="1"/>
    </xf>
    <xf numFmtId="0" fontId="9" fillId="0" borderId="0" xfId="0" applyFont="1" applyAlignment="1">
      <alignment vertical="center" wrapText="1"/>
    </xf>
    <xf numFmtId="0" fontId="10" fillId="0" borderId="2" xfId="0" applyFont="1" applyBorder="1"/>
    <xf numFmtId="49" fontId="10" fillId="0" borderId="2" xfId="0" applyNumberFormat="1" applyFont="1" applyBorder="1"/>
    <xf numFmtId="164" fontId="10" fillId="0" borderId="2" xfId="0" applyNumberFormat="1" applyFont="1" applyBorder="1"/>
    <xf numFmtId="0" fontId="0" fillId="2" borderId="0" xfId="0" applyFill="1"/>
    <xf numFmtId="165" fontId="0" fillId="2" borderId="0" xfId="0" applyNumberFormat="1" applyFill="1"/>
    <xf numFmtId="0" fontId="11" fillId="0" borderId="0" xfId="0" applyFont="1"/>
    <xf numFmtId="1" fontId="0" fillId="2" borderId="0" xfId="0" applyNumberFormat="1" applyFill="1"/>
    <xf numFmtId="164" fontId="0" fillId="2" borderId="0" xfId="0" applyNumberFormat="1" applyFill="1"/>
    <xf numFmtId="0" fontId="12" fillId="3" borderId="2" xfId="0" applyFont="1" applyFill="1" applyBorder="1" applyAlignment="1">
      <alignment horizontal="center" vertical="center" wrapText="1"/>
    </xf>
    <xf numFmtId="165" fontId="0" fillId="2" borderId="2" xfId="0" applyNumberForma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166" fontId="0" fillId="0" borderId="2" xfId="0" applyNumberFormat="1" applyBorder="1" applyAlignment="1">
      <alignment horizontal="center" vertical="center"/>
    </xf>
    <xf numFmtId="167" fontId="0" fillId="2" borderId="2" xfId="0" applyNumberFormat="1" applyFill="1" applyBorder="1" applyAlignment="1">
      <alignment vertical="center"/>
    </xf>
    <xf numFmtId="0" fontId="13" fillId="2" borderId="2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167" fontId="11" fillId="4" borderId="0" xfId="0" applyNumberFormat="1" applyFont="1" applyFill="1"/>
    <xf numFmtId="165" fontId="0" fillId="0" borderId="2" xfId="0" applyNumberFormat="1" applyBorder="1" applyAlignment="1">
      <alignment vertical="center"/>
    </xf>
    <xf numFmtId="165" fontId="0" fillId="0" borderId="0" xfId="0" applyNumberFormat="1"/>
  </cellXfs>
  <cellStyles count="1">
    <cellStyle name="Normal" xfId="0" builtinId="0"/>
  </cellStyles>
  <dxfs count="12">
    <dxf>
      <font>
        <color rgb="FF7A2415"/>
      </font>
      <fill>
        <patternFill patternType="solid">
          <bgColor rgb="FFF6B3A6"/>
        </patternFill>
      </fill>
    </dxf>
    <dxf>
      <font>
        <color rgb="FF7A2415"/>
      </font>
      <fill>
        <patternFill patternType="solid">
          <bgColor rgb="FFF6B3A6"/>
        </patternFill>
      </fill>
    </dxf>
    <dxf>
      <font>
        <color rgb="FF7A2415"/>
      </font>
      <fill>
        <patternFill patternType="solid">
          <bgColor rgb="FFF6B3A6"/>
        </patternFill>
      </fill>
    </dxf>
    <dxf>
      <font>
        <color rgb="FF7A2415"/>
      </font>
      <fill>
        <patternFill patternType="solid">
          <bgColor rgb="FFF6B3A6"/>
        </patternFill>
      </fill>
    </dxf>
    <dxf>
      <font>
        <color rgb="FF7A2415"/>
      </font>
      <fill>
        <patternFill patternType="solid">
          <bgColor rgb="FFF6B3A6"/>
        </patternFill>
      </fill>
    </dxf>
    <dxf>
      <font>
        <color rgb="FF7A2415"/>
      </font>
      <fill>
        <patternFill patternType="solid">
          <bgColor rgb="FFF6B3A6"/>
        </patternFill>
      </fill>
    </dxf>
    <dxf>
      <font>
        <color rgb="FF7A2415"/>
      </font>
      <fill>
        <patternFill patternType="solid">
          <bgColor rgb="FFF6B3A6"/>
        </patternFill>
      </fill>
    </dxf>
    <dxf>
      <font>
        <color rgb="FF7A2415"/>
      </font>
      <fill>
        <patternFill patternType="solid">
          <bgColor rgb="FFF6B3A6"/>
        </patternFill>
      </fill>
    </dxf>
    <dxf>
      <font>
        <color rgb="FF7A2415"/>
      </font>
      <fill>
        <patternFill patternType="solid">
          <bgColor rgb="FFF6B3A6"/>
        </patternFill>
      </fill>
    </dxf>
    <dxf>
      <font>
        <color rgb="FF7A2415"/>
      </font>
      <fill>
        <patternFill patternType="solid">
          <bgColor rgb="FFF6B3A6"/>
        </patternFill>
      </fill>
    </dxf>
    <dxf>
      <font>
        <color rgb="FF7A2415"/>
      </font>
      <fill>
        <patternFill patternType="solid">
          <bgColor rgb="FFF6B3A6"/>
        </patternFill>
      </fill>
    </dxf>
    <dxf>
      <font>
        <color rgb="FF7A2415"/>
      </font>
      <fill>
        <patternFill patternType="solid">
          <bgColor rgb="FFF6B3A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88000</xdr:colOff>
      <xdr:row>0</xdr:row>
      <xdr:rowOff>68000</xdr:rowOff>
    </xdr:from>
    <xdr:ext cx="285750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32000</xdr:colOff>
      <xdr:row>0</xdr:row>
      <xdr:rowOff>68000</xdr:rowOff>
    </xdr:from>
    <xdr:ext cx="285750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9600</xdr:colOff>
      <xdr:row>0</xdr:row>
      <xdr:rowOff>68000</xdr:rowOff>
    </xdr:from>
    <xdr:ext cx="285750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9600</xdr:colOff>
      <xdr:row>0</xdr:row>
      <xdr:rowOff>68000</xdr:rowOff>
    </xdr:from>
    <xdr:ext cx="285750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9600</xdr:colOff>
      <xdr:row>0</xdr:row>
      <xdr:rowOff>68000</xdr:rowOff>
    </xdr:from>
    <xdr:ext cx="285750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9600</xdr:colOff>
      <xdr:row>0</xdr:row>
      <xdr:rowOff>68000</xdr:rowOff>
    </xdr:from>
    <xdr:ext cx="285750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9600</xdr:colOff>
      <xdr:row>0</xdr:row>
      <xdr:rowOff>68000</xdr:rowOff>
    </xdr:from>
    <xdr:ext cx="285750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9600</xdr:colOff>
      <xdr:row>0</xdr:row>
      <xdr:rowOff>68000</xdr:rowOff>
    </xdr:from>
    <xdr:ext cx="285750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9600</xdr:colOff>
      <xdr:row>0</xdr:row>
      <xdr:rowOff>68000</xdr:rowOff>
    </xdr:from>
    <xdr:ext cx="285750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9600</xdr:colOff>
      <xdr:row>0</xdr:row>
      <xdr:rowOff>68000</xdr:rowOff>
    </xdr:from>
    <xdr:ext cx="285750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9600</xdr:colOff>
      <xdr:row>0</xdr:row>
      <xdr:rowOff>68000</xdr:rowOff>
    </xdr:from>
    <xdr:ext cx="285750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9600</xdr:colOff>
      <xdr:row>0</xdr:row>
      <xdr:rowOff>68000</xdr:rowOff>
    </xdr:from>
    <xdr:ext cx="285750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9600</xdr:colOff>
      <xdr:row>0</xdr:row>
      <xdr:rowOff>68000</xdr:rowOff>
    </xdr:from>
    <xdr:ext cx="285750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9600</xdr:colOff>
      <xdr:row>0</xdr:row>
      <xdr:rowOff>68000</xdr:rowOff>
    </xdr:from>
    <xdr:ext cx="285750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11200</xdr:colOff>
      <xdr:row>0</xdr:row>
      <xdr:rowOff>68000</xdr:rowOff>
    </xdr:from>
    <xdr:ext cx="285750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enturno.pe/plantillas/registro-de-control-de-asistencia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enturno.pe/plantillas/registro-de-control-de-asistencia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enturno.pe/plantillas/registro-de-control-de-asistencia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nturno.pe/plantillas/registro-de-control-de-asistencia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enturno.pe/plantillas/registro-de-control-de-asistencia" TargetMode="External"/><Relationship Id="rId2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enturno.pe/plantillas/registro-de-control-de-asistencia" TargetMode="External"/><Relationship Id="rId2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hyperlink" Target="https://enturno.pe/plantillas/registro-de-control-de-asistencia" TargetMode="External"/><Relationship Id="rId2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hyperlink" Target="https://enturno.pe/plantillas/registro-de-control-de-asistencia" TargetMode="External"/><Relationship Id="rId2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hyperlink" Target="https://enturno.pe/plantillas/registro-de-control-de-asistencia" TargetMode="External"/><Relationship Id="rId2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hyperlink" Target="https://enturno.pe/plantillas/registro-de-control-de-asistencia" TargetMode="External"/><Relationship Id="rId2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hyperlink" Target="https://enturno.pe/plantillas/registro-de-control-de-asistencia" TargetMode="External"/><Relationship Id="rId2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hyperlink" Target="https://enturno.pe/plantillas/registro-de-control-de-asistencia" TargetMode="External"/><Relationship Id="rId2" Type="http://schemas.openxmlformats.org/officeDocument/2006/relationships/drawing" Target="../drawings/drawing12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hyperlink" Target="https://enturno.pe/plantillas/registro-de-control-de-asistencia" TargetMode="External"/><Relationship Id="rId2" Type="http://schemas.openxmlformats.org/officeDocument/2006/relationships/drawing" Target="../drawings/drawing13.xm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hyperlink" Target="https://enturno.pe/plantillas/registro-de-control-de-asistencia" TargetMode="External"/><Relationship Id="rId2" Type="http://schemas.openxmlformats.org/officeDocument/2006/relationships/drawing" Target="../drawings/drawing14.xm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hyperlink" Target="https://enturno.pe/plantillas/registro-de-control-de-asistencia" TargetMode="External"/><Relationship Id="rId2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"/>
  <sheetViews>
    <sheetView workbookViewId="0" showGridLines="0"/>
  </sheetViews>
  <sheetFormatPr defaultRowHeight="15" outlineLevelRow="0" outlineLevelCol="0" x14ac:dyDescent="55"/>
  <cols>
    <col min="1" max="1" width="110" customWidth="1"/>
  </cols>
  <sheetData>
    <row r="1" ht="34" customHeight="1" spans="1:1" x14ac:dyDescent="0.25">
      <c r="A1" s="1" t="s">
        <v>0</v>
      </c>
    </row>
    <row r="2" ht="24" customHeight="1" spans="1:1" x14ac:dyDescent="0.25">
      <c r="A2" s="2" t="s">
        <v>1</v>
      </c>
    </row>
    <row r="3" spans="1:1" x14ac:dyDescent="0.25">
      <c r="A3" s="3" t="s">
        <v>2</v>
      </c>
    </row>
    <row r="5" spans="1:1" x14ac:dyDescent="0.25">
      <c r="A5" s="4" t="s">
        <v>3</v>
      </c>
    </row>
    <row r="6" ht="49" customHeight="1" spans="1:1" x14ac:dyDescent="0.25">
      <c r="A6" s="5" t="s">
        <v>4</v>
      </c>
    </row>
    <row r="8" spans="1:1" x14ac:dyDescent="0.25">
      <c r="A8" s="4" t="s">
        <v>5</v>
      </c>
    </row>
    <row r="9" ht="49" customHeight="1" spans="1:1" x14ac:dyDescent="0.25">
      <c r="A9" s="5" t="s">
        <v>6</v>
      </c>
    </row>
    <row r="11" spans="1:1" x14ac:dyDescent="0.25">
      <c r="A11" s="4" t="s">
        <v>7</v>
      </c>
    </row>
    <row r="12" ht="124" customHeight="1" spans="1:1" x14ac:dyDescent="0.25">
      <c r="A12" s="5" t="s">
        <v>8</v>
      </c>
    </row>
    <row r="14" spans="1:1" x14ac:dyDescent="0.25">
      <c r="A14" s="4" t="s">
        <v>9</v>
      </c>
    </row>
    <row r="15" ht="34" customHeight="1" spans="1:1" x14ac:dyDescent="0.25">
      <c r="A15" s="5" t="s">
        <v>10</v>
      </c>
    </row>
    <row r="17" spans="1:1" x14ac:dyDescent="0.25">
      <c r="A17" s="4" t="s">
        <v>11</v>
      </c>
    </row>
    <row r="18" ht="49" customHeight="1" spans="1:1" x14ac:dyDescent="0.25">
      <c r="A18" s="5" t="s">
        <v>12</v>
      </c>
    </row>
    <row r="20" spans="1:1" x14ac:dyDescent="0.25">
      <c r="A20" s="4" t="s">
        <v>13</v>
      </c>
    </row>
    <row r="21" ht="19" customHeight="1" spans="1:1" x14ac:dyDescent="0.25">
      <c r="A21" s="5" t="s">
        <v>14</v>
      </c>
    </row>
    <row r="23" spans="1:1" x14ac:dyDescent="0.25">
      <c r="A23" s="4" t="s">
        <v>15</v>
      </c>
    </row>
    <row r="24" ht="34" customHeight="1" spans="1:1" x14ac:dyDescent="0.25">
      <c r="A24" s="5" t="s">
        <v>16</v>
      </c>
    </row>
    <row r="26" spans="1:1" x14ac:dyDescent="0.25">
      <c r="A26" s="6" t="s">
        <v>17</v>
      </c>
    </row>
    <row r="27" spans="1:1" x14ac:dyDescent="0.25">
      <c r="A27" s="7" t="s">
        <v>18</v>
      </c>
    </row>
    <row r="28" spans="1:1" x14ac:dyDescent="0.25">
      <c r="A28" s="8" t="s">
        <v>19</v>
      </c>
    </row>
    <row r="29" spans="1:1" x14ac:dyDescent="0.25">
      <c r="A29" s="7" t="s">
        <v>20</v>
      </c>
    </row>
  </sheetData>
  <hyperlinks>
    <hyperlink ref="A28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44" customWidth="1"/>
  </cols>
  <sheetData>
    <row r="1" ht="34" customHeight="1" spans="1:2" x14ac:dyDescent="0.25">
      <c r="A1" s="1" t="s">
        <v>0</v>
      </c>
      <c r="B1" s="1"/>
    </row>
    <row r="2" ht="24" customHeight="1" spans="1:2" x14ac:dyDescent="0.25">
      <c r="A2" s="2" t="s">
        <v>21</v>
      </c>
      <c r="B2" s="2"/>
    </row>
    <row r="3" ht="60" customHeight="1" spans="1:2" x14ac:dyDescent="0.25">
      <c r="A3" s="9" t="s">
        <v>22</v>
      </c>
      <c r="B3" s="9"/>
    </row>
    <row r="5" ht="22" customHeight="1" spans="1:2" x14ac:dyDescent="0.25">
      <c r="A5" s="10" t="s">
        <v>23</v>
      </c>
      <c r="B5" s="11"/>
    </row>
    <row r="6" ht="22" customHeight="1" spans="1:2" x14ac:dyDescent="0.25">
      <c r="A6" s="10" t="s">
        <v>24</v>
      </c>
      <c r="B6" s="12"/>
    </row>
    <row r="7" ht="22" customHeight="1" spans="1:2" x14ac:dyDescent="0.25">
      <c r="A7" s="10" t="s">
        <v>25</v>
      </c>
      <c r="B7" s="11"/>
    </row>
    <row r="8" ht="22" customHeight="1" spans="1:2" x14ac:dyDescent="0.25">
      <c r="A8" s="10" t="s">
        <v>26</v>
      </c>
      <c r="B8" s="12"/>
    </row>
    <row r="9" ht="22" customHeight="1" spans="1:2" x14ac:dyDescent="0.25">
      <c r="A9" s="10" t="s">
        <v>27</v>
      </c>
      <c r="B9" s="13">
        <v>8</v>
      </c>
    </row>
    <row r="10" ht="22" customHeight="1" spans="1:2" x14ac:dyDescent="0.25">
      <c r="A10" s="10" t="s">
        <v>28</v>
      </c>
      <c r="B10" s="11">
        <v>2026</v>
      </c>
    </row>
    <row r="12" ht="32" customHeight="1" spans="1:2" x14ac:dyDescent="0.25">
      <c r="A12" s="10" t="s">
        <v>29</v>
      </c>
      <c r="B12" s="10"/>
    </row>
    <row r="14" spans="1:1" x14ac:dyDescent="0.25">
      <c r="A14" s="6" t="s">
        <v>17</v>
      </c>
    </row>
    <row r="15" spans="1:1" x14ac:dyDescent="0.25">
      <c r="A15" s="7" t="s">
        <v>18</v>
      </c>
    </row>
    <row r="16" spans="1:1" x14ac:dyDescent="0.25">
      <c r="A16" s="8" t="s">
        <v>19</v>
      </c>
    </row>
    <row r="17" spans="1:1" x14ac:dyDescent="0.25">
      <c r="A17" s="7" t="s">
        <v>20</v>
      </c>
    </row>
  </sheetData>
  <mergeCells count="4">
    <mergeCell ref="A1:B1"/>
    <mergeCell ref="A2:B2"/>
    <mergeCell ref="A3:B3"/>
    <mergeCell ref="A12:B12"/>
  </mergeCells>
  <dataValidations count="2">
    <dataValidation type="whole" showErrorMessage="1" error="Escribe un año entre 2026 y 2030." sqref="B10">
      <formula1>2026</formula1>
      <formula2>2030</formula2>
    </dataValidation>
    <dataValidation type="decimal" showErrorMessage="1" error="La jornada diaria va de 1 a 12 horas." sqref="B9">
      <formula1>1</formula1>
      <formula2>12</formula2>
    </dataValidation>
  </dataValidations>
  <hyperlinks>
    <hyperlink ref="A16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1" customWidth="1"/>
    <col min="4" max="5" width="13" customWidth="1"/>
    <col min="6" max="6" width="11" customWidth="1"/>
    <col min="7" max="8" width="12" customWidth="1"/>
    <col min="9" max="9" width="13" customWidth="1"/>
    <col min="10" max="10" width="24" customWidth="1"/>
    <col min="11" max="11" width="30" customWidth="1"/>
    <col min="12" max="12" width="22" customWidth="1"/>
    <col min="13" max="13" width="4" customWidth="1"/>
    <col min="14" max="14" width="12" hidden="1" customWidth="1"/>
  </cols>
  <sheetData>
    <row r="1" ht="3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 spans="1:12" x14ac:dyDescent="0.25">
      <c r="A2" s="2" t="s">
        <v>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2" customHeight="1" spans="1:12" x14ac:dyDescent="0.25">
      <c r="A3" s="9" t="s">
        <v>31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x14ac:dyDescent="0.25">
      <c r="A4" s="10" t="s">
        <v>32</v>
      </c>
      <c r="B4" s="14">
        <f>IF(Datos!$B$5="","",Datos!$B$5)</f>
      </c>
      <c r="C4" s="14"/>
      <c r="D4" s="14"/>
      <c r="E4" s="14"/>
      <c r="F4" s="10" t="s">
        <v>33</v>
      </c>
      <c r="G4" s="14">
        <f>IF(Datos!$B$6="","",Datos!$B$6)</f>
      </c>
      <c r="H4" s="14"/>
      <c r="I4" s="14"/>
      <c r="N4" s="15">
        <f>INDEX(Listas!$C$2:$C$62,($D$6-2026)*12+1)</f>
      </c>
    </row>
    <row r="5" spans="1:14" x14ac:dyDescent="0.25">
      <c r="A5" s="10" t="s">
        <v>34</v>
      </c>
      <c r="B5" s="14">
        <f>IF(Datos!$B$7="","",Datos!$B$7)</f>
      </c>
      <c r="C5" s="14"/>
      <c r="D5" s="14"/>
      <c r="E5" s="14"/>
      <c r="F5" s="10" t="s">
        <v>35</v>
      </c>
      <c r="G5" s="14">
        <f>IF(Datos!$B$8="","",Datos!$B$8)</f>
      </c>
      <c r="H5" s="14"/>
      <c r="I5" s="14"/>
      <c r="N5" s="15">
        <f>INDEX(Listas!$C$2:$C$62,($D$6-2026)*12+2)</f>
      </c>
    </row>
    <row r="6" spans="1:7" x14ac:dyDescent="0.25">
      <c r="A6" s="10" t="s">
        <v>36</v>
      </c>
      <c r="B6" s="16" t="s">
        <v>37</v>
      </c>
      <c r="C6" s="10" t="s">
        <v>38</v>
      </c>
      <c r="D6" s="17">
        <f>Datos!$B$10</f>
      </c>
      <c r="F6" s="10" t="s">
        <v>39</v>
      </c>
      <c r="G6" s="18">
        <f>Datos!$B$9</f>
      </c>
    </row>
    <row r="8" ht="42" customHeight="1" spans="1:12" x14ac:dyDescent="0.25">
      <c r="A8" s="19" t="s">
        <v>40</v>
      </c>
      <c r="B8" s="19" t="s">
        <v>41</v>
      </c>
      <c r="C8" s="19" t="s">
        <v>42</v>
      </c>
      <c r="D8" s="19" t="s">
        <v>43</v>
      </c>
      <c r="E8" s="19" t="s">
        <v>44</v>
      </c>
      <c r="F8" s="19" t="s">
        <v>45</v>
      </c>
      <c r="G8" s="19" t="s">
        <v>9</v>
      </c>
      <c r="H8" s="19" t="s">
        <v>46</v>
      </c>
      <c r="I8" s="19" t="s">
        <v>11</v>
      </c>
      <c r="J8" s="19" t="s">
        <v>47</v>
      </c>
      <c r="K8" s="19" t="s">
        <v>48</v>
      </c>
      <c r="L8" s="19" t="s">
        <v>49</v>
      </c>
    </row>
    <row r="9" ht="20" customHeight="1" spans="1:12" x14ac:dyDescent="0.25">
      <c r="A9" s="20">
        <f>IF($N$4+0&lt;$N$5,$N$4+0,"")</f>
      </c>
      <c r="B9" s="21">
        <f>IF(A9="","",INDEX(Listas!$A$2:$A$8,WEEKDAY(A9))&amp;IF(COUNTIF(Feriados!$A$6:$A$49,A9)&gt;0," · feriado",""))</f>
      </c>
      <c r="C9" s="22"/>
      <c r="D9" s="22"/>
      <c r="E9" s="22"/>
      <c r="F9" s="22"/>
      <c r="G9" s="23">
        <f>IF(AND(ISNUMBER(D9),ISNUMBER(E9)),ROUND(MOD(E9-D9,1)*1440,0)/1440,"")</f>
      </c>
      <c r="H9" s="23">
        <f>IF(AND(ISNUMBER(C9),ISNUMBER(F9)),ROUND(MOD(F9-C9,1)*1440,0)/1440-N(G9),"")</f>
      </c>
      <c r="I9" s="23">
        <f>IF(H9="","",MAX(0,ROUND((H9-$G$6/24)*1440,0)/1440))</f>
      </c>
      <c r="J9" s="24">
        <f>IF(AND(ISNUMBER(C9),NOT(ISNUMBER(F9))),"Falta la salida",IF(AND(ISNUMBER(F9),NOT(ISNUMBER(C9))),"Falta el ingreso",IF(AND(ISNUMBER(G9),G9&gt;0,G9&lt;45/1440),"Refrigerio menor a 45 min","")))</f>
      </c>
      <c r="K9" s="25"/>
      <c r="L9" s="25"/>
    </row>
    <row r="10" ht="20" customHeight="1" spans="1:12" x14ac:dyDescent="0.25">
      <c r="A10" s="20">
        <f>IF($N$4+1&lt;$N$5,$N$4+1,"")</f>
      </c>
      <c r="B10" s="21">
        <f>IF(A10="","",INDEX(Listas!$A$2:$A$8,WEEKDAY(A10))&amp;IF(COUNTIF(Feriados!$A$6:$A$49,A10)&gt;0," · feriado",""))</f>
      </c>
      <c r="C10" s="22"/>
      <c r="D10" s="22"/>
      <c r="E10" s="22"/>
      <c r="F10" s="22"/>
      <c r="G10" s="23">
        <f>IF(AND(ISNUMBER(D10),ISNUMBER(E10)),ROUND(MOD(E10-D10,1)*1440,0)/1440,"")</f>
      </c>
      <c r="H10" s="23">
        <f>IF(AND(ISNUMBER(C10),ISNUMBER(F10)),ROUND(MOD(F10-C10,1)*1440,0)/1440-N(G10),"")</f>
      </c>
      <c r="I10" s="23">
        <f>IF(H10="","",MAX(0,ROUND((H10-$G$6/24)*1440,0)/1440))</f>
      </c>
      <c r="J10" s="24">
        <f>IF(AND(ISNUMBER(C10),NOT(ISNUMBER(F10))),"Falta la salida",IF(AND(ISNUMBER(F10),NOT(ISNUMBER(C10))),"Falta el ingreso",IF(AND(ISNUMBER(G10),G10&gt;0,G10&lt;45/1440),"Refrigerio menor a 45 min","")))</f>
      </c>
      <c r="K10" s="25"/>
      <c r="L10" s="25"/>
    </row>
    <row r="11" ht="20" customHeight="1" spans="1:12" x14ac:dyDescent="0.25">
      <c r="A11" s="20">
        <f>IF($N$4+2&lt;$N$5,$N$4+2,"")</f>
      </c>
      <c r="B11" s="21">
        <f>IF(A11="","",INDEX(Listas!$A$2:$A$8,WEEKDAY(A11))&amp;IF(COUNTIF(Feriados!$A$6:$A$49,A11)&gt;0," · feriado",""))</f>
      </c>
      <c r="C11" s="22"/>
      <c r="D11" s="22"/>
      <c r="E11" s="22"/>
      <c r="F11" s="22"/>
      <c r="G11" s="23">
        <f>IF(AND(ISNUMBER(D11),ISNUMBER(E11)),ROUND(MOD(E11-D11,1)*1440,0)/1440,"")</f>
      </c>
      <c r="H11" s="23">
        <f>IF(AND(ISNUMBER(C11),ISNUMBER(F11)),ROUND(MOD(F11-C11,1)*1440,0)/1440-N(G11),"")</f>
      </c>
      <c r="I11" s="23">
        <f>IF(H11="","",MAX(0,ROUND((H11-$G$6/24)*1440,0)/1440))</f>
      </c>
      <c r="J11" s="24">
        <f>IF(AND(ISNUMBER(C11),NOT(ISNUMBER(F11))),"Falta la salida",IF(AND(ISNUMBER(F11),NOT(ISNUMBER(C11))),"Falta el ingreso",IF(AND(ISNUMBER(G11),G11&gt;0,G11&lt;45/1440),"Refrigerio menor a 45 min","")))</f>
      </c>
      <c r="K11" s="25"/>
      <c r="L11" s="25"/>
    </row>
    <row r="12" ht="20" customHeight="1" spans="1:12" x14ac:dyDescent="0.25">
      <c r="A12" s="20">
        <f>IF($N$4+3&lt;$N$5,$N$4+3,"")</f>
      </c>
      <c r="B12" s="21">
        <f>IF(A12="","",INDEX(Listas!$A$2:$A$8,WEEKDAY(A12))&amp;IF(COUNTIF(Feriados!$A$6:$A$49,A12)&gt;0," · feriado",""))</f>
      </c>
      <c r="C12" s="22"/>
      <c r="D12" s="22"/>
      <c r="E12" s="22"/>
      <c r="F12" s="22"/>
      <c r="G12" s="23">
        <f>IF(AND(ISNUMBER(D12),ISNUMBER(E12)),ROUND(MOD(E12-D12,1)*1440,0)/1440,"")</f>
      </c>
      <c r="H12" s="23">
        <f>IF(AND(ISNUMBER(C12),ISNUMBER(F12)),ROUND(MOD(F12-C12,1)*1440,0)/1440-N(G12),"")</f>
      </c>
      <c r="I12" s="23">
        <f>IF(H12="","",MAX(0,ROUND((H12-$G$6/24)*1440,0)/1440))</f>
      </c>
      <c r="J12" s="24">
        <f>IF(AND(ISNUMBER(C12),NOT(ISNUMBER(F12))),"Falta la salida",IF(AND(ISNUMBER(F12),NOT(ISNUMBER(C12))),"Falta el ingreso",IF(AND(ISNUMBER(G12),G12&gt;0,G12&lt;45/1440),"Refrigerio menor a 45 min","")))</f>
      </c>
      <c r="K12" s="25"/>
      <c r="L12" s="25"/>
    </row>
    <row r="13" ht="20" customHeight="1" spans="1:12" x14ac:dyDescent="0.25">
      <c r="A13" s="20">
        <f>IF($N$4+4&lt;$N$5,$N$4+4,"")</f>
      </c>
      <c r="B13" s="21">
        <f>IF(A13="","",INDEX(Listas!$A$2:$A$8,WEEKDAY(A13))&amp;IF(COUNTIF(Feriados!$A$6:$A$49,A13)&gt;0," · feriado",""))</f>
      </c>
      <c r="C13" s="22"/>
      <c r="D13" s="22"/>
      <c r="E13" s="22"/>
      <c r="F13" s="22"/>
      <c r="G13" s="23">
        <f>IF(AND(ISNUMBER(D13),ISNUMBER(E13)),ROUND(MOD(E13-D13,1)*1440,0)/1440,"")</f>
      </c>
      <c r="H13" s="23">
        <f>IF(AND(ISNUMBER(C13),ISNUMBER(F13)),ROUND(MOD(F13-C13,1)*1440,0)/1440-N(G13),"")</f>
      </c>
      <c r="I13" s="23">
        <f>IF(H13="","",MAX(0,ROUND((H13-$G$6/24)*1440,0)/1440))</f>
      </c>
      <c r="J13" s="24">
        <f>IF(AND(ISNUMBER(C13),NOT(ISNUMBER(F13))),"Falta la salida",IF(AND(ISNUMBER(F13),NOT(ISNUMBER(C13))),"Falta el ingreso",IF(AND(ISNUMBER(G13),G13&gt;0,G13&lt;45/1440),"Refrigerio menor a 45 min","")))</f>
      </c>
      <c r="K13" s="25"/>
      <c r="L13" s="25"/>
    </row>
    <row r="14" ht="20" customHeight="1" spans="1:12" x14ac:dyDescent="0.25">
      <c r="A14" s="20">
        <f>IF($N$4+5&lt;$N$5,$N$4+5,"")</f>
      </c>
      <c r="B14" s="21">
        <f>IF(A14="","",INDEX(Listas!$A$2:$A$8,WEEKDAY(A14))&amp;IF(COUNTIF(Feriados!$A$6:$A$49,A14)&gt;0," · feriado",""))</f>
      </c>
      <c r="C14" s="22"/>
      <c r="D14" s="22"/>
      <c r="E14" s="22"/>
      <c r="F14" s="22"/>
      <c r="G14" s="23">
        <f>IF(AND(ISNUMBER(D14),ISNUMBER(E14)),ROUND(MOD(E14-D14,1)*1440,0)/1440,"")</f>
      </c>
      <c r="H14" s="23">
        <f>IF(AND(ISNUMBER(C14),ISNUMBER(F14)),ROUND(MOD(F14-C14,1)*1440,0)/1440-N(G14),"")</f>
      </c>
      <c r="I14" s="23">
        <f>IF(H14="","",MAX(0,ROUND((H14-$G$6/24)*1440,0)/1440))</f>
      </c>
      <c r="J14" s="24">
        <f>IF(AND(ISNUMBER(C14),NOT(ISNUMBER(F14))),"Falta la salida",IF(AND(ISNUMBER(F14),NOT(ISNUMBER(C14))),"Falta el ingreso",IF(AND(ISNUMBER(G14),G14&gt;0,G14&lt;45/1440),"Refrigerio menor a 45 min","")))</f>
      </c>
      <c r="K14" s="25"/>
      <c r="L14" s="25"/>
    </row>
    <row r="15" ht="20" customHeight="1" spans="1:12" x14ac:dyDescent="0.25">
      <c r="A15" s="20">
        <f>IF($N$4+6&lt;$N$5,$N$4+6,"")</f>
      </c>
      <c r="B15" s="21">
        <f>IF(A15="","",INDEX(Listas!$A$2:$A$8,WEEKDAY(A15))&amp;IF(COUNTIF(Feriados!$A$6:$A$49,A15)&gt;0," · feriado",""))</f>
      </c>
      <c r="C15" s="22"/>
      <c r="D15" s="22"/>
      <c r="E15" s="22"/>
      <c r="F15" s="22"/>
      <c r="G15" s="23">
        <f>IF(AND(ISNUMBER(D15),ISNUMBER(E15)),ROUND(MOD(E15-D15,1)*1440,0)/1440,"")</f>
      </c>
      <c r="H15" s="23">
        <f>IF(AND(ISNUMBER(C15),ISNUMBER(F15)),ROUND(MOD(F15-C15,1)*1440,0)/1440-N(G15),"")</f>
      </c>
      <c r="I15" s="23">
        <f>IF(H15="","",MAX(0,ROUND((H15-$G$6/24)*1440,0)/1440))</f>
      </c>
      <c r="J15" s="24">
        <f>IF(AND(ISNUMBER(C15),NOT(ISNUMBER(F15))),"Falta la salida",IF(AND(ISNUMBER(F15),NOT(ISNUMBER(C15))),"Falta el ingreso",IF(AND(ISNUMBER(G15),G15&gt;0,G15&lt;45/1440),"Refrigerio menor a 45 min","")))</f>
      </c>
      <c r="K15" s="25"/>
      <c r="L15" s="25"/>
    </row>
    <row r="16" ht="20" customHeight="1" spans="1:12" x14ac:dyDescent="0.25">
      <c r="A16" s="20">
        <f>IF($N$4+7&lt;$N$5,$N$4+7,"")</f>
      </c>
      <c r="B16" s="21">
        <f>IF(A16="","",INDEX(Listas!$A$2:$A$8,WEEKDAY(A16))&amp;IF(COUNTIF(Feriados!$A$6:$A$49,A16)&gt;0," · feriado",""))</f>
      </c>
      <c r="C16" s="22"/>
      <c r="D16" s="22"/>
      <c r="E16" s="22"/>
      <c r="F16" s="22"/>
      <c r="G16" s="23">
        <f>IF(AND(ISNUMBER(D16),ISNUMBER(E16)),ROUND(MOD(E16-D16,1)*1440,0)/1440,"")</f>
      </c>
      <c r="H16" s="23">
        <f>IF(AND(ISNUMBER(C16),ISNUMBER(F16)),ROUND(MOD(F16-C16,1)*1440,0)/1440-N(G16),"")</f>
      </c>
      <c r="I16" s="23">
        <f>IF(H16="","",MAX(0,ROUND((H16-$G$6/24)*1440,0)/1440))</f>
      </c>
      <c r="J16" s="24">
        <f>IF(AND(ISNUMBER(C16),NOT(ISNUMBER(F16))),"Falta la salida",IF(AND(ISNUMBER(F16),NOT(ISNUMBER(C16))),"Falta el ingreso",IF(AND(ISNUMBER(G16),G16&gt;0,G16&lt;45/1440),"Refrigerio menor a 45 min","")))</f>
      </c>
      <c r="K16" s="25"/>
      <c r="L16" s="25"/>
    </row>
    <row r="17" ht="20" customHeight="1" spans="1:12" x14ac:dyDescent="0.25">
      <c r="A17" s="20">
        <f>IF($N$4+8&lt;$N$5,$N$4+8,"")</f>
      </c>
      <c r="B17" s="21">
        <f>IF(A17="","",INDEX(Listas!$A$2:$A$8,WEEKDAY(A17))&amp;IF(COUNTIF(Feriados!$A$6:$A$49,A17)&gt;0," · feriado",""))</f>
      </c>
      <c r="C17" s="22"/>
      <c r="D17" s="22"/>
      <c r="E17" s="22"/>
      <c r="F17" s="22"/>
      <c r="G17" s="23">
        <f>IF(AND(ISNUMBER(D17),ISNUMBER(E17)),ROUND(MOD(E17-D17,1)*1440,0)/1440,"")</f>
      </c>
      <c r="H17" s="23">
        <f>IF(AND(ISNUMBER(C17),ISNUMBER(F17)),ROUND(MOD(F17-C17,1)*1440,0)/1440-N(G17),"")</f>
      </c>
      <c r="I17" s="23">
        <f>IF(H17="","",MAX(0,ROUND((H17-$G$6/24)*1440,0)/1440))</f>
      </c>
      <c r="J17" s="24">
        <f>IF(AND(ISNUMBER(C17),NOT(ISNUMBER(F17))),"Falta la salida",IF(AND(ISNUMBER(F17),NOT(ISNUMBER(C17))),"Falta el ingreso",IF(AND(ISNUMBER(G17),G17&gt;0,G17&lt;45/1440),"Refrigerio menor a 45 min","")))</f>
      </c>
      <c r="K17" s="25"/>
      <c r="L17" s="25"/>
    </row>
    <row r="18" ht="20" customHeight="1" spans="1:12" x14ac:dyDescent="0.25">
      <c r="A18" s="20">
        <f>IF($N$4+9&lt;$N$5,$N$4+9,"")</f>
      </c>
      <c r="B18" s="21">
        <f>IF(A18="","",INDEX(Listas!$A$2:$A$8,WEEKDAY(A18))&amp;IF(COUNTIF(Feriados!$A$6:$A$49,A18)&gt;0," · feriado",""))</f>
      </c>
      <c r="C18" s="22"/>
      <c r="D18" s="22"/>
      <c r="E18" s="22"/>
      <c r="F18" s="22"/>
      <c r="G18" s="23">
        <f>IF(AND(ISNUMBER(D18),ISNUMBER(E18)),ROUND(MOD(E18-D18,1)*1440,0)/1440,"")</f>
      </c>
      <c r="H18" s="23">
        <f>IF(AND(ISNUMBER(C18),ISNUMBER(F18)),ROUND(MOD(F18-C18,1)*1440,0)/1440-N(G18),"")</f>
      </c>
      <c r="I18" s="23">
        <f>IF(H18="","",MAX(0,ROUND((H18-$G$6/24)*1440,0)/1440))</f>
      </c>
      <c r="J18" s="24">
        <f>IF(AND(ISNUMBER(C18),NOT(ISNUMBER(F18))),"Falta la salida",IF(AND(ISNUMBER(F18),NOT(ISNUMBER(C18))),"Falta el ingreso",IF(AND(ISNUMBER(G18),G18&gt;0,G18&lt;45/1440),"Refrigerio menor a 45 min","")))</f>
      </c>
      <c r="K18" s="25"/>
      <c r="L18" s="25"/>
    </row>
    <row r="19" ht="20" customHeight="1" spans="1:12" x14ac:dyDescent="0.25">
      <c r="A19" s="20">
        <f>IF($N$4+10&lt;$N$5,$N$4+10,"")</f>
      </c>
      <c r="B19" s="21">
        <f>IF(A19="","",INDEX(Listas!$A$2:$A$8,WEEKDAY(A19))&amp;IF(COUNTIF(Feriados!$A$6:$A$49,A19)&gt;0," · feriado",""))</f>
      </c>
      <c r="C19" s="22"/>
      <c r="D19" s="22"/>
      <c r="E19" s="22"/>
      <c r="F19" s="22"/>
      <c r="G19" s="23">
        <f>IF(AND(ISNUMBER(D19),ISNUMBER(E19)),ROUND(MOD(E19-D19,1)*1440,0)/1440,"")</f>
      </c>
      <c r="H19" s="23">
        <f>IF(AND(ISNUMBER(C19),ISNUMBER(F19)),ROUND(MOD(F19-C19,1)*1440,0)/1440-N(G19),"")</f>
      </c>
      <c r="I19" s="23">
        <f>IF(H19="","",MAX(0,ROUND((H19-$G$6/24)*1440,0)/1440))</f>
      </c>
      <c r="J19" s="24">
        <f>IF(AND(ISNUMBER(C19),NOT(ISNUMBER(F19))),"Falta la salida",IF(AND(ISNUMBER(F19),NOT(ISNUMBER(C19))),"Falta el ingreso",IF(AND(ISNUMBER(G19),G19&gt;0,G19&lt;45/1440),"Refrigerio menor a 45 min","")))</f>
      </c>
      <c r="K19" s="25"/>
      <c r="L19" s="25"/>
    </row>
    <row r="20" ht="20" customHeight="1" spans="1:12" x14ac:dyDescent="0.25">
      <c r="A20" s="20">
        <f>IF($N$4+11&lt;$N$5,$N$4+11,"")</f>
      </c>
      <c r="B20" s="21">
        <f>IF(A20="","",INDEX(Listas!$A$2:$A$8,WEEKDAY(A20))&amp;IF(COUNTIF(Feriados!$A$6:$A$49,A20)&gt;0," · feriado",""))</f>
      </c>
      <c r="C20" s="22"/>
      <c r="D20" s="22"/>
      <c r="E20" s="22"/>
      <c r="F20" s="22"/>
      <c r="G20" s="23">
        <f>IF(AND(ISNUMBER(D20),ISNUMBER(E20)),ROUND(MOD(E20-D20,1)*1440,0)/1440,"")</f>
      </c>
      <c r="H20" s="23">
        <f>IF(AND(ISNUMBER(C20),ISNUMBER(F20)),ROUND(MOD(F20-C20,1)*1440,0)/1440-N(G20),"")</f>
      </c>
      <c r="I20" s="23">
        <f>IF(H20="","",MAX(0,ROUND((H20-$G$6/24)*1440,0)/1440))</f>
      </c>
      <c r="J20" s="24">
        <f>IF(AND(ISNUMBER(C20),NOT(ISNUMBER(F20))),"Falta la salida",IF(AND(ISNUMBER(F20),NOT(ISNUMBER(C20))),"Falta el ingreso",IF(AND(ISNUMBER(G20),G20&gt;0,G20&lt;45/1440),"Refrigerio menor a 45 min","")))</f>
      </c>
      <c r="K20" s="25"/>
      <c r="L20" s="25"/>
    </row>
    <row r="21" ht="20" customHeight="1" spans="1:12" x14ac:dyDescent="0.25">
      <c r="A21" s="20">
        <f>IF($N$4+12&lt;$N$5,$N$4+12,"")</f>
      </c>
      <c r="B21" s="21">
        <f>IF(A21="","",INDEX(Listas!$A$2:$A$8,WEEKDAY(A21))&amp;IF(COUNTIF(Feriados!$A$6:$A$49,A21)&gt;0," · feriado",""))</f>
      </c>
      <c r="C21" s="22"/>
      <c r="D21" s="22"/>
      <c r="E21" s="22"/>
      <c r="F21" s="22"/>
      <c r="G21" s="23">
        <f>IF(AND(ISNUMBER(D21),ISNUMBER(E21)),ROUND(MOD(E21-D21,1)*1440,0)/1440,"")</f>
      </c>
      <c r="H21" s="23">
        <f>IF(AND(ISNUMBER(C21),ISNUMBER(F21)),ROUND(MOD(F21-C21,1)*1440,0)/1440-N(G21),"")</f>
      </c>
      <c r="I21" s="23">
        <f>IF(H21="","",MAX(0,ROUND((H21-$G$6/24)*1440,0)/1440))</f>
      </c>
      <c r="J21" s="24">
        <f>IF(AND(ISNUMBER(C21),NOT(ISNUMBER(F21))),"Falta la salida",IF(AND(ISNUMBER(F21),NOT(ISNUMBER(C21))),"Falta el ingreso",IF(AND(ISNUMBER(G21),G21&gt;0,G21&lt;45/1440),"Refrigerio menor a 45 min","")))</f>
      </c>
      <c r="K21" s="25"/>
      <c r="L21" s="25"/>
    </row>
    <row r="22" ht="20" customHeight="1" spans="1:12" x14ac:dyDescent="0.25">
      <c r="A22" s="20">
        <f>IF($N$4+13&lt;$N$5,$N$4+13,"")</f>
      </c>
      <c r="B22" s="21">
        <f>IF(A22="","",INDEX(Listas!$A$2:$A$8,WEEKDAY(A22))&amp;IF(COUNTIF(Feriados!$A$6:$A$49,A22)&gt;0," · feriado",""))</f>
      </c>
      <c r="C22" s="22"/>
      <c r="D22" s="22"/>
      <c r="E22" s="22"/>
      <c r="F22" s="22"/>
      <c r="G22" s="23">
        <f>IF(AND(ISNUMBER(D22),ISNUMBER(E22)),ROUND(MOD(E22-D22,1)*1440,0)/1440,"")</f>
      </c>
      <c r="H22" s="23">
        <f>IF(AND(ISNUMBER(C22),ISNUMBER(F22)),ROUND(MOD(F22-C22,1)*1440,0)/1440-N(G22),"")</f>
      </c>
      <c r="I22" s="23">
        <f>IF(H22="","",MAX(0,ROUND((H22-$G$6/24)*1440,0)/1440))</f>
      </c>
      <c r="J22" s="24">
        <f>IF(AND(ISNUMBER(C22),NOT(ISNUMBER(F22))),"Falta la salida",IF(AND(ISNUMBER(F22),NOT(ISNUMBER(C22))),"Falta el ingreso",IF(AND(ISNUMBER(G22),G22&gt;0,G22&lt;45/1440),"Refrigerio menor a 45 min","")))</f>
      </c>
      <c r="K22" s="25"/>
      <c r="L22" s="25"/>
    </row>
    <row r="23" ht="20" customHeight="1" spans="1:12" x14ac:dyDescent="0.25">
      <c r="A23" s="20">
        <f>IF($N$4+14&lt;$N$5,$N$4+14,"")</f>
      </c>
      <c r="B23" s="21">
        <f>IF(A23="","",INDEX(Listas!$A$2:$A$8,WEEKDAY(A23))&amp;IF(COUNTIF(Feriados!$A$6:$A$49,A23)&gt;0," · feriado",""))</f>
      </c>
      <c r="C23" s="22"/>
      <c r="D23" s="22"/>
      <c r="E23" s="22"/>
      <c r="F23" s="22"/>
      <c r="G23" s="23">
        <f>IF(AND(ISNUMBER(D23),ISNUMBER(E23)),ROUND(MOD(E23-D23,1)*1440,0)/1440,"")</f>
      </c>
      <c r="H23" s="23">
        <f>IF(AND(ISNUMBER(C23),ISNUMBER(F23)),ROUND(MOD(F23-C23,1)*1440,0)/1440-N(G23),"")</f>
      </c>
      <c r="I23" s="23">
        <f>IF(H23="","",MAX(0,ROUND((H23-$G$6/24)*1440,0)/1440))</f>
      </c>
      <c r="J23" s="24">
        <f>IF(AND(ISNUMBER(C23),NOT(ISNUMBER(F23))),"Falta la salida",IF(AND(ISNUMBER(F23),NOT(ISNUMBER(C23))),"Falta el ingreso",IF(AND(ISNUMBER(G23),G23&gt;0,G23&lt;45/1440),"Refrigerio menor a 45 min","")))</f>
      </c>
      <c r="K23" s="25"/>
      <c r="L23" s="25"/>
    </row>
    <row r="24" ht="20" customHeight="1" spans="1:12" x14ac:dyDescent="0.25">
      <c r="A24" s="20">
        <f>IF($N$4+15&lt;$N$5,$N$4+15,"")</f>
      </c>
      <c r="B24" s="21">
        <f>IF(A24="","",INDEX(Listas!$A$2:$A$8,WEEKDAY(A24))&amp;IF(COUNTIF(Feriados!$A$6:$A$49,A24)&gt;0," · feriado",""))</f>
      </c>
      <c r="C24" s="22"/>
      <c r="D24" s="22"/>
      <c r="E24" s="22"/>
      <c r="F24" s="22"/>
      <c r="G24" s="23">
        <f>IF(AND(ISNUMBER(D24),ISNUMBER(E24)),ROUND(MOD(E24-D24,1)*1440,0)/1440,"")</f>
      </c>
      <c r="H24" s="23">
        <f>IF(AND(ISNUMBER(C24),ISNUMBER(F24)),ROUND(MOD(F24-C24,1)*1440,0)/1440-N(G24),"")</f>
      </c>
      <c r="I24" s="23">
        <f>IF(H24="","",MAX(0,ROUND((H24-$G$6/24)*1440,0)/1440))</f>
      </c>
      <c r="J24" s="24">
        <f>IF(AND(ISNUMBER(C24),NOT(ISNUMBER(F24))),"Falta la salida",IF(AND(ISNUMBER(F24),NOT(ISNUMBER(C24))),"Falta el ingreso",IF(AND(ISNUMBER(G24),G24&gt;0,G24&lt;45/1440),"Refrigerio menor a 45 min","")))</f>
      </c>
      <c r="K24" s="25"/>
      <c r="L24" s="25"/>
    </row>
    <row r="25" ht="20" customHeight="1" spans="1:12" x14ac:dyDescent="0.25">
      <c r="A25" s="20">
        <f>IF($N$4+16&lt;$N$5,$N$4+16,"")</f>
      </c>
      <c r="B25" s="21">
        <f>IF(A25="","",INDEX(Listas!$A$2:$A$8,WEEKDAY(A25))&amp;IF(COUNTIF(Feriados!$A$6:$A$49,A25)&gt;0," · feriado",""))</f>
      </c>
      <c r="C25" s="22"/>
      <c r="D25" s="22"/>
      <c r="E25" s="22"/>
      <c r="F25" s="22"/>
      <c r="G25" s="23">
        <f>IF(AND(ISNUMBER(D25),ISNUMBER(E25)),ROUND(MOD(E25-D25,1)*1440,0)/1440,"")</f>
      </c>
      <c r="H25" s="23">
        <f>IF(AND(ISNUMBER(C25),ISNUMBER(F25)),ROUND(MOD(F25-C25,1)*1440,0)/1440-N(G25),"")</f>
      </c>
      <c r="I25" s="23">
        <f>IF(H25="","",MAX(0,ROUND((H25-$G$6/24)*1440,0)/1440))</f>
      </c>
      <c r="J25" s="24">
        <f>IF(AND(ISNUMBER(C25),NOT(ISNUMBER(F25))),"Falta la salida",IF(AND(ISNUMBER(F25),NOT(ISNUMBER(C25))),"Falta el ingreso",IF(AND(ISNUMBER(G25),G25&gt;0,G25&lt;45/1440),"Refrigerio menor a 45 min","")))</f>
      </c>
      <c r="K25" s="25"/>
      <c r="L25" s="25"/>
    </row>
    <row r="26" ht="20" customHeight="1" spans="1:12" x14ac:dyDescent="0.25">
      <c r="A26" s="20">
        <f>IF($N$4+17&lt;$N$5,$N$4+17,"")</f>
      </c>
      <c r="B26" s="21">
        <f>IF(A26="","",INDEX(Listas!$A$2:$A$8,WEEKDAY(A26))&amp;IF(COUNTIF(Feriados!$A$6:$A$49,A26)&gt;0," · feriado",""))</f>
      </c>
      <c r="C26" s="22"/>
      <c r="D26" s="22"/>
      <c r="E26" s="22"/>
      <c r="F26" s="22"/>
      <c r="G26" s="23">
        <f>IF(AND(ISNUMBER(D26),ISNUMBER(E26)),ROUND(MOD(E26-D26,1)*1440,0)/1440,"")</f>
      </c>
      <c r="H26" s="23">
        <f>IF(AND(ISNUMBER(C26),ISNUMBER(F26)),ROUND(MOD(F26-C26,1)*1440,0)/1440-N(G26),"")</f>
      </c>
      <c r="I26" s="23">
        <f>IF(H26="","",MAX(0,ROUND((H26-$G$6/24)*1440,0)/1440))</f>
      </c>
      <c r="J26" s="24">
        <f>IF(AND(ISNUMBER(C26),NOT(ISNUMBER(F26))),"Falta la salida",IF(AND(ISNUMBER(F26),NOT(ISNUMBER(C26))),"Falta el ingreso",IF(AND(ISNUMBER(G26),G26&gt;0,G26&lt;45/1440),"Refrigerio menor a 45 min","")))</f>
      </c>
      <c r="K26" s="25"/>
      <c r="L26" s="25"/>
    </row>
    <row r="27" ht="20" customHeight="1" spans="1:12" x14ac:dyDescent="0.25">
      <c r="A27" s="20">
        <f>IF($N$4+18&lt;$N$5,$N$4+18,"")</f>
      </c>
      <c r="B27" s="21">
        <f>IF(A27="","",INDEX(Listas!$A$2:$A$8,WEEKDAY(A27))&amp;IF(COUNTIF(Feriados!$A$6:$A$49,A27)&gt;0," · feriado",""))</f>
      </c>
      <c r="C27" s="22"/>
      <c r="D27" s="22"/>
      <c r="E27" s="22"/>
      <c r="F27" s="22"/>
      <c r="G27" s="23">
        <f>IF(AND(ISNUMBER(D27),ISNUMBER(E27)),ROUND(MOD(E27-D27,1)*1440,0)/1440,"")</f>
      </c>
      <c r="H27" s="23">
        <f>IF(AND(ISNUMBER(C27),ISNUMBER(F27)),ROUND(MOD(F27-C27,1)*1440,0)/1440-N(G27),"")</f>
      </c>
      <c r="I27" s="23">
        <f>IF(H27="","",MAX(0,ROUND((H27-$G$6/24)*1440,0)/1440))</f>
      </c>
      <c r="J27" s="24">
        <f>IF(AND(ISNUMBER(C27),NOT(ISNUMBER(F27))),"Falta la salida",IF(AND(ISNUMBER(F27),NOT(ISNUMBER(C27))),"Falta el ingreso",IF(AND(ISNUMBER(G27),G27&gt;0,G27&lt;45/1440),"Refrigerio menor a 45 min","")))</f>
      </c>
      <c r="K27" s="25"/>
      <c r="L27" s="25"/>
    </row>
    <row r="28" ht="20" customHeight="1" spans="1:12" x14ac:dyDescent="0.25">
      <c r="A28" s="20">
        <f>IF($N$4+19&lt;$N$5,$N$4+19,"")</f>
      </c>
      <c r="B28" s="21">
        <f>IF(A28="","",INDEX(Listas!$A$2:$A$8,WEEKDAY(A28))&amp;IF(COUNTIF(Feriados!$A$6:$A$49,A28)&gt;0," · feriado",""))</f>
      </c>
      <c r="C28" s="22"/>
      <c r="D28" s="22"/>
      <c r="E28" s="22"/>
      <c r="F28" s="22"/>
      <c r="G28" s="23">
        <f>IF(AND(ISNUMBER(D28),ISNUMBER(E28)),ROUND(MOD(E28-D28,1)*1440,0)/1440,"")</f>
      </c>
      <c r="H28" s="23">
        <f>IF(AND(ISNUMBER(C28),ISNUMBER(F28)),ROUND(MOD(F28-C28,1)*1440,0)/1440-N(G28),"")</f>
      </c>
      <c r="I28" s="23">
        <f>IF(H28="","",MAX(0,ROUND((H28-$G$6/24)*1440,0)/1440))</f>
      </c>
      <c r="J28" s="24">
        <f>IF(AND(ISNUMBER(C28),NOT(ISNUMBER(F28))),"Falta la salida",IF(AND(ISNUMBER(F28),NOT(ISNUMBER(C28))),"Falta el ingreso",IF(AND(ISNUMBER(G28),G28&gt;0,G28&lt;45/1440),"Refrigerio menor a 45 min","")))</f>
      </c>
      <c r="K28" s="25"/>
      <c r="L28" s="25"/>
    </row>
    <row r="29" ht="20" customHeight="1" spans="1:12" x14ac:dyDescent="0.25">
      <c r="A29" s="20">
        <f>IF($N$4+20&lt;$N$5,$N$4+20,"")</f>
      </c>
      <c r="B29" s="21">
        <f>IF(A29="","",INDEX(Listas!$A$2:$A$8,WEEKDAY(A29))&amp;IF(COUNTIF(Feriados!$A$6:$A$49,A29)&gt;0," · feriado",""))</f>
      </c>
      <c r="C29" s="22"/>
      <c r="D29" s="22"/>
      <c r="E29" s="22"/>
      <c r="F29" s="22"/>
      <c r="G29" s="23">
        <f>IF(AND(ISNUMBER(D29),ISNUMBER(E29)),ROUND(MOD(E29-D29,1)*1440,0)/1440,"")</f>
      </c>
      <c r="H29" s="23">
        <f>IF(AND(ISNUMBER(C29),ISNUMBER(F29)),ROUND(MOD(F29-C29,1)*1440,0)/1440-N(G29),"")</f>
      </c>
      <c r="I29" s="23">
        <f>IF(H29="","",MAX(0,ROUND((H29-$G$6/24)*1440,0)/1440))</f>
      </c>
      <c r="J29" s="24">
        <f>IF(AND(ISNUMBER(C29),NOT(ISNUMBER(F29))),"Falta la salida",IF(AND(ISNUMBER(F29),NOT(ISNUMBER(C29))),"Falta el ingreso",IF(AND(ISNUMBER(G29),G29&gt;0,G29&lt;45/1440),"Refrigerio menor a 45 min","")))</f>
      </c>
      <c r="K29" s="25"/>
      <c r="L29" s="25"/>
    </row>
    <row r="30" ht="20" customHeight="1" spans="1:12" x14ac:dyDescent="0.25">
      <c r="A30" s="20">
        <f>IF($N$4+21&lt;$N$5,$N$4+21,"")</f>
      </c>
      <c r="B30" s="21">
        <f>IF(A30="","",INDEX(Listas!$A$2:$A$8,WEEKDAY(A30))&amp;IF(COUNTIF(Feriados!$A$6:$A$49,A30)&gt;0," · feriado",""))</f>
      </c>
      <c r="C30" s="22"/>
      <c r="D30" s="22"/>
      <c r="E30" s="22"/>
      <c r="F30" s="22"/>
      <c r="G30" s="23">
        <f>IF(AND(ISNUMBER(D30),ISNUMBER(E30)),ROUND(MOD(E30-D30,1)*1440,0)/1440,"")</f>
      </c>
      <c r="H30" s="23">
        <f>IF(AND(ISNUMBER(C30),ISNUMBER(F30)),ROUND(MOD(F30-C30,1)*1440,0)/1440-N(G30),"")</f>
      </c>
      <c r="I30" s="23">
        <f>IF(H30="","",MAX(0,ROUND((H30-$G$6/24)*1440,0)/1440))</f>
      </c>
      <c r="J30" s="24">
        <f>IF(AND(ISNUMBER(C30),NOT(ISNUMBER(F30))),"Falta la salida",IF(AND(ISNUMBER(F30),NOT(ISNUMBER(C30))),"Falta el ingreso",IF(AND(ISNUMBER(G30),G30&gt;0,G30&lt;45/1440),"Refrigerio menor a 45 min","")))</f>
      </c>
      <c r="K30" s="25"/>
      <c r="L30" s="25"/>
    </row>
    <row r="31" ht="20" customHeight="1" spans="1:12" x14ac:dyDescent="0.25">
      <c r="A31" s="20">
        <f>IF($N$4+22&lt;$N$5,$N$4+22,"")</f>
      </c>
      <c r="B31" s="21">
        <f>IF(A31="","",INDEX(Listas!$A$2:$A$8,WEEKDAY(A31))&amp;IF(COUNTIF(Feriados!$A$6:$A$49,A31)&gt;0," · feriado",""))</f>
      </c>
      <c r="C31" s="22"/>
      <c r="D31" s="22"/>
      <c r="E31" s="22"/>
      <c r="F31" s="22"/>
      <c r="G31" s="23">
        <f>IF(AND(ISNUMBER(D31),ISNUMBER(E31)),ROUND(MOD(E31-D31,1)*1440,0)/1440,"")</f>
      </c>
      <c r="H31" s="23">
        <f>IF(AND(ISNUMBER(C31),ISNUMBER(F31)),ROUND(MOD(F31-C31,1)*1440,0)/1440-N(G31),"")</f>
      </c>
      <c r="I31" s="23">
        <f>IF(H31="","",MAX(0,ROUND((H31-$G$6/24)*1440,0)/1440))</f>
      </c>
      <c r="J31" s="24">
        <f>IF(AND(ISNUMBER(C31),NOT(ISNUMBER(F31))),"Falta la salida",IF(AND(ISNUMBER(F31),NOT(ISNUMBER(C31))),"Falta el ingreso",IF(AND(ISNUMBER(G31),G31&gt;0,G31&lt;45/1440),"Refrigerio menor a 45 min","")))</f>
      </c>
      <c r="K31" s="25"/>
      <c r="L31" s="25"/>
    </row>
    <row r="32" ht="20" customHeight="1" spans="1:12" x14ac:dyDescent="0.25">
      <c r="A32" s="20">
        <f>IF($N$4+23&lt;$N$5,$N$4+23,"")</f>
      </c>
      <c r="B32" s="21">
        <f>IF(A32="","",INDEX(Listas!$A$2:$A$8,WEEKDAY(A32))&amp;IF(COUNTIF(Feriados!$A$6:$A$49,A32)&gt;0," · feriado",""))</f>
      </c>
      <c r="C32" s="22"/>
      <c r="D32" s="22"/>
      <c r="E32" s="22"/>
      <c r="F32" s="22"/>
      <c r="G32" s="23">
        <f>IF(AND(ISNUMBER(D32),ISNUMBER(E32)),ROUND(MOD(E32-D32,1)*1440,0)/1440,"")</f>
      </c>
      <c r="H32" s="23">
        <f>IF(AND(ISNUMBER(C32),ISNUMBER(F32)),ROUND(MOD(F32-C32,1)*1440,0)/1440-N(G32),"")</f>
      </c>
      <c r="I32" s="23">
        <f>IF(H32="","",MAX(0,ROUND((H32-$G$6/24)*1440,0)/1440))</f>
      </c>
      <c r="J32" s="24">
        <f>IF(AND(ISNUMBER(C32),NOT(ISNUMBER(F32))),"Falta la salida",IF(AND(ISNUMBER(F32),NOT(ISNUMBER(C32))),"Falta el ingreso",IF(AND(ISNUMBER(G32),G32&gt;0,G32&lt;45/1440),"Refrigerio menor a 45 min","")))</f>
      </c>
      <c r="K32" s="25"/>
      <c r="L32" s="25"/>
    </row>
    <row r="33" ht="20" customHeight="1" spans="1:12" x14ac:dyDescent="0.25">
      <c r="A33" s="20">
        <f>IF($N$4+24&lt;$N$5,$N$4+24,"")</f>
      </c>
      <c r="B33" s="21">
        <f>IF(A33="","",INDEX(Listas!$A$2:$A$8,WEEKDAY(A33))&amp;IF(COUNTIF(Feriados!$A$6:$A$49,A33)&gt;0," · feriado",""))</f>
      </c>
      <c r="C33" s="22"/>
      <c r="D33" s="22"/>
      <c r="E33" s="22"/>
      <c r="F33" s="22"/>
      <c r="G33" s="23">
        <f>IF(AND(ISNUMBER(D33),ISNUMBER(E33)),ROUND(MOD(E33-D33,1)*1440,0)/1440,"")</f>
      </c>
      <c r="H33" s="23">
        <f>IF(AND(ISNUMBER(C33),ISNUMBER(F33)),ROUND(MOD(F33-C33,1)*1440,0)/1440-N(G33),"")</f>
      </c>
      <c r="I33" s="23">
        <f>IF(H33="","",MAX(0,ROUND((H33-$G$6/24)*1440,0)/1440))</f>
      </c>
      <c r="J33" s="24">
        <f>IF(AND(ISNUMBER(C33),NOT(ISNUMBER(F33))),"Falta la salida",IF(AND(ISNUMBER(F33),NOT(ISNUMBER(C33))),"Falta el ingreso",IF(AND(ISNUMBER(G33),G33&gt;0,G33&lt;45/1440),"Refrigerio menor a 45 min","")))</f>
      </c>
      <c r="K33" s="25"/>
      <c r="L33" s="25"/>
    </row>
    <row r="34" ht="20" customHeight="1" spans="1:12" x14ac:dyDescent="0.25">
      <c r="A34" s="20">
        <f>IF($N$4+25&lt;$N$5,$N$4+25,"")</f>
      </c>
      <c r="B34" s="21">
        <f>IF(A34="","",INDEX(Listas!$A$2:$A$8,WEEKDAY(A34))&amp;IF(COUNTIF(Feriados!$A$6:$A$49,A34)&gt;0," · feriado",""))</f>
      </c>
      <c r="C34" s="22"/>
      <c r="D34" s="22"/>
      <c r="E34" s="22"/>
      <c r="F34" s="22"/>
      <c r="G34" s="23">
        <f>IF(AND(ISNUMBER(D34),ISNUMBER(E34)),ROUND(MOD(E34-D34,1)*1440,0)/1440,"")</f>
      </c>
      <c r="H34" s="23">
        <f>IF(AND(ISNUMBER(C34),ISNUMBER(F34)),ROUND(MOD(F34-C34,1)*1440,0)/1440-N(G34),"")</f>
      </c>
      <c r="I34" s="23">
        <f>IF(H34="","",MAX(0,ROUND((H34-$G$6/24)*1440,0)/1440))</f>
      </c>
      <c r="J34" s="24">
        <f>IF(AND(ISNUMBER(C34),NOT(ISNUMBER(F34))),"Falta la salida",IF(AND(ISNUMBER(F34),NOT(ISNUMBER(C34))),"Falta el ingreso",IF(AND(ISNUMBER(G34),G34&gt;0,G34&lt;45/1440),"Refrigerio menor a 45 min","")))</f>
      </c>
      <c r="K34" s="25"/>
      <c r="L34" s="25"/>
    </row>
    <row r="35" ht="20" customHeight="1" spans="1:12" x14ac:dyDescent="0.25">
      <c r="A35" s="20">
        <f>IF($N$4+26&lt;$N$5,$N$4+26,"")</f>
      </c>
      <c r="B35" s="21">
        <f>IF(A35="","",INDEX(Listas!$A$2:$A$8,WEEKDAY(A35))&amp;IF(COUNTIF(Feriados!$A$6:$A$49,A35)&gt;0," · feriado",""))</f>
      </c>
      <c r="C35" s="22"/>
      <c r="D35" s="22"/>
      <c r="E35" s="22"/>
      <c r="F35" s="22"/>
      <c r="G35" s="23">
        <f>IF(AND(ISNUMBER(D35),ISNUMBER(E35)),ROUND(MOD(E35-D35,1)*1440,0)/1440,"")</f>
      </c>
      <c r="H35" s="23">
        <f>IF(AND(ISNUMBER(C35),ISNUMBER(F35)),ROUND(MOD(F35-C35,1)*1440,0)/1440-N(G35),"")</f>
      </c>
      <c r="I35" s="23">
        <f>IF(H35="","",MAX(0,ROUND((H35-$G$6/24)*1440,0)/1440))</f>
      </c>
      <c r="J35" s="24">
        <f>IF(AND(ISNUMBER(C35),NOT(ISNUMBER(F35))),"Falta la salida",IF(AND(ISNUMBER(F35),NOT(ISNUMBER(C35))),"Falta el ingreso",IF(AND(ISNUMBER(G35),G35&gt;0,G35&lt;45/1440),"Refrigerio menor a 45 min","")))</f>
      </c>
      <c r="K35" s="25"/>
      <c r="L35" s="25"/>
    </row>
    <row r="36" ht="20" customHeight="1" spans="1:12" x14ac:dyDescent="0.25">
      <c r="A36" s="20">
        <f>IF($N$4+27&lt;$N$5,$N$4+27,"")</f>
      </c>
      <c r="B36" s="21">
        <f>IF(A36="","",INDEX(Listas!$A$2:$A$8,WEEKDAY(A36))&amp;IF(COUNTIF(Feriados!$A$6:$A$49,A36)&gt;0," · feriado",""))</f>
      </c>
      <c r="C36" s="22"/>
      <c r="D36" s="22"/>
      <c r="E36" s="22"/>
      <c r="F36" s="22"/>
      <c r="G36" s="23">
        <f>IF(AND(ISNUMBER(D36),ISNUMBER(E36)),ROUND(MOD(E36-D36,1)*1440,0)/1440,"")</f>
      </c>
      <c r="H36" s="23">
        <f>IF(AND(ISNUMBER(C36),ISNUMBER(F36)),ROUND(MOD(F36-C36,1)*1440,0)/1440-N(G36),"")</f>
      </c>
      <c r="I36" s="23">
        <f>IF(H36="","",MAX(0,ROUND((H36-$G$6/24)*1440,0)/1440))</f>
      </c>
      <c r="J36" s="24">
        <f>IF(AND(ISNUMBER(C36),NOT(ISNUMBER(F36))),"Falta la salida",IF(AND(ISNUMBER(F36),NOT(ISNUMBER(C36))),"Falta el ingreso",IF(AND(ISNUMBER(G36),G36&gt;0,G36&lt;45/1440),"Refrigerio menor a 45 min","")))</f>
      </c>
      <c r="K36" s="25"/>
      <c r="L36" s="25"/>
    </row>
    <row r="37" ht="20" customHeight="1" spans="1:12" x14ac:dyDescent="0.25">
      <c r="A37" s="20">
        <f>IF($N$4+28&lt;$N$5,$N$4+28,"")</f>
      </c>
      <c r="B37" s="21">
        <f>IF(A37="","",INDEX(Listas!$A$2:$A$8,WEEKDAY(A37))&amp;IF(COUNTIF(Feriados!$A$6:$A$49,A37)&gt;0," · feriado",""))</f>
      </c>
      <c r="C37" s="22"/>
      <c r="D37" s="22"/>
      <c r="E37" s="22"/>
      <c r="F37" s="22"/>
      <c r="G37" s="23">
        <f>IF(AND(ISNUMBER(D37),ISNUMBER(E37)),ROUND(MOD(E37-D37,1)*1440,0)/1440,"")</f>
      </c>
      <c r="H37" s="23">
        <f>IF(AND(ISNUMBER(C37),ISNUMBER(F37)),ROUND(MOD(F37-C37,1)*1440,0)/1440-N(G37),"")</f>
      </c>
      <c r="I37" s="23">
        <f>IF(H37="","",MAX(0,ROUND((H37-$G$6/24)*1440,0)/1440))</f>
      </c>
      <c r="J37" s="24">
        <f>IF(AND(ISNUMBER(C37),NOT(ISNUMBER(F37))),"Falta la salida",IF(AND(ISNUMBER(F37),NOT(ISNUMBER(C37))),"Falta el ingreso",IF(AND(ISNUMBER(G37),G37&gt;0,G37&lt;45/1440),"Refrigerio menor a 45 min","")))</f>
      </c>
      <c r="K37" s="25"/>
      <c r="L37" s="25"/>
    </row>
    <row r="38" ht="20" customHeight="1" spans="1:12" x14ac:dyDescent="0.25">
      <c r="A38" s="20">
        <f>IF($N$4+29&lt;$N$5,$N$4+29,"")</f>
      </c>
      <c r="B38" s="21">
        <f>IF(A38="","",INDEX(Listas!$A$2:$A$8,WEEKDAY(A38))&amp;IF(COUNTIF(Feriados!$A$6:$A$49,A38)&gt;0," · feriado",""))</f>
      </c>
      <c r="C38" s="22"/>
      <c r="D38" s="22"/>
      <c r="E38" s="22"/>
      <c r="F38" s="22"/>
      <c r="G38" s="23">
        <f>IF(AND(ISNUMBER(D38),ISNUMBER(E38)),ROUND(MOD(E38-D38,1)*1440,0)/1440,"")</f>
      </c>
      <c r="H38" s="23">
        <f>IF(AND(ISNUMBER(C38),ISNUMBER(F38)),ROUND(MOD(F38-C38,1)*1440,0)/1440-N(G38),"")</f>
      </c>
      <c r="I38" s="23">
        <f>IF(H38="","",MAX(0,ROUND((H38-$G$6/24)*1440,0)/1440))</f>
      </c>
      <c r="J38" s="24">
        <f>IF(AND(ISNUMBER(C38),NOT(ISNUMBER(F38))),"Falta la salida",IF(AND(ISNUMBER(F38),NOT(ISNUMBER(C38))),"Falta el ingreso",IF(AND(ISNUMBER(G38),G38&gt;0,G38&lt;45/1440),"Refrigerio menor a 45 min","")))</f>
      </c>
      <c r="K38" s="25"/>
      <c r="L38" s="25"/>
    </row>
    <row r="39" ht="20" customHeight="1" spans="1:12" x14ac:dyDescent="0.25">
      <c r="A39" s="20">
        <f>IF($N$4+30&lt;$N$5,$N$4+30,"")</f>
      </c>
      <c r="B39" s="21">
        <f>IF(A39="","",INDEX(Listas!$A$2:$A$8,WEEKDAY(A39))&amp;IF(COUNTIF(Feriados!$A$6:$A$49,A39)&gt;0," · feriado",""))</f>
      </c>
      <c r="C39" s="22"/>
      <c r="D39" s="22"/>
      <c r="E39" s="22"/>
      <c r="F39" s="22"/>
      <c r="G39" s="23">
        <f>IF(AND(ISNUMBER(D39),ISNUMBER(E39)),ROUND(MOD(E39-D39,1)*1440,0)/1440,"")</f>
      </c>
      <c r="H39" s="23">
        <f>IF(AND(ISNUMBER(C39),ISNUMBER(F39)),ROUND(MOD(F39-C39,1)*1440,0)/1440-N(G39),"")</f>
      </c>
      <c r="I39" s="23">
        <f>IF(H39="","",MAX(0,ROUND((H39-$G$6/24)*1440,0)/1440))</f>
      </c>
      <c r="J39" s="24">
        <f>IF(AND(ISNUMBER(C39),NOT(ISNUMBER(F39))),"Falta la salida",IF(AND(ISNUMBER(F39),NOT(ISNUMBER(C39))),"Falta el ingreso",IF(AND(ISNUMBER(G39),G39&gt;0,G39&lt;45/1440),"Refrigerio menor a 45 min","")))</f>
      </c>
      <c r="K39" s="25"/>
      <c r="L39" s="25"/>
    </row>
    <row r="40" spans="7:9" x14ac:dyDescent="0.25">
      <c r="G40" s="16" t="s">
        <v>50</v>
      </c>
      <c r="H40" s="26">
        <f>SUM(H9:H39)</f>
      </c>
      <c r="I40" s="26">
        <f>SUM(I9:I39)</f>
      </c>
    </row>
    <row r="42" spans="1:1" x14ac:dyDescent="0.25">
      <c r="A42" s="6" t="s">
        <v>17</v>
      </c>
    </row>
    <row r="43" spans="1:1" x14ac:dyDescent="0.25">
      <c r="A43" s="7" t="s">
        <v>18</v>
      </c>
    </row>
    <row r="44" spans="1:1" x14ac:dyDescent="0.25">
      <c r="A44" s="8" t="s">
        <v>19</v>
      </c>
    </row>
    <row r="45" spans="1:1" x14ac:dyDescent="0.25">
      <c r="A45" s="7" t="s">
        <v>20</v>
      </c>
    </row>
  </sheetData>
  <mergeCells count="7">
    <mergeCell ref="A1:L1"/>
    <mergeCell ref="A2:L2"/>
    <mergeCell ref="A3:L3"/>
    <mergeCell ref="B4:E4"/>
    <mergeCell ref="G4:I4"/>
    <mergeCell ref="B5:E5"/>
    <mergeCell ref="G5:I5"/>
  </mergeCells>
  <conditionalFormatting sqref="A9:B39">
    <cfRule type="expression" dxfId="0" priority="1">
      <formula>RIGHT($B9,7)="feriado"</formula>
    </cfRule>
  </conditionalFormatting>
  <hyperlinks>
    <hyperlink ref="A44" r:id="rId1"/>
  </hyperlinks>
  <pageSetup paperSize="9" orientation="landscape" fitToWidth="1" fitToHeight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1" customWidth="1"/>
    <col min="4" max="5" width="13" customWidth="1"/>
    <col min="6" max="6" width="11" customWidth="1"/>
    <col min="7" max="8" width="12" customWidth="1"/>
    <col min="9" max="9" width="13" customWidth="1"/>
    <col min="10" max="10" width="24" customWidth="1"/>
    <col min="11" max="11" width="30" customWidth="1"/>
    <col min="12" max="12" width="22" customWidth="1"/>
    <col min="13" max="13" width="4" customWidth="1"/>
    <col min="14" max="14" width="12" hidden="1" customWidth="1"/>
  </cols>
  <sheetData>
    <row r="1" ht="3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 spans="1:12" x14ac:dyDescent="0.25">
      <c r="A2" s="2" t="s">
        <v>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2" customHeight="1" spans="1:12" x14ac:dyDescent="0.25">
      <c r="A3" s="9" t="s">
        <v>31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x14ac:dyDescent="0.25">
      <c r="A4" s="10" t="s">
        <v>32</v>
      </c>
      <c r="B4" s="14">
        <f>IF(Datos!$B$5="","",Datos!$B$5)</f>
      </c>
      <c r="C4" s="14"/>
      <c r="D4" s="14"/>
      <c r="E4" s="14"/>
      <c r="F4" s="10" t="s">
        <v>33</v>
      </c>
      <c r="G4" s="14">
        <f>IF(Datos!$B$6="","",Datos!$B$6)</f>
      </c>
      <c r="H4" s="14"/>
      <c r="I4" s="14"/>
      <c r="N4" s="15">
        <f>INDEX(Listas!$C$2:$C$62,($D$6-2026)*12+2)</f>
      </c>
    </row>
    <row r="5" spans="1:14" x14ac:dyDescent="0.25">
      <c r="A5" s="10" t="s">
        <v>34</v>
      </c>
      <c r="B5" s="14">
        <f>IF(Datos!$B$7="","",Datos!$B$7)</f>
      </c>
      <c r="C5" s="14"/>
      <c r="D5" s="14"/>
      <c r="E5" s="14"/>
      <c r="F5" s="10" t="s">
        <v>35</v>
      </c>
      <c r="G5" s="14">
        <f>IF(Datos!$B$8="","",Datos!$B$8)</f>
      </c>
      <c r="H5" s="14"/>
      <c r="I5" s="14"/>
      <c r="N5" s="15">
        <f>INDEX(Listas!$C$2:$C$62,($D$6-2026)*12+3)</f>
      </c>
    </row>
    <row r="6" spans="1:7" x14ac:dyDescent="0.25">
      <c r="A6" s="10" t="s">
        <v>36</v>
      </c>
      <c r="B6" s="16" t="s">
        <v>52</v>
      </c>
      <c r="C6" s="10" t="s">
        <v>38</v>
      </c>
      <c r="D6" s="17">
        <f>Datos!$B$10</f>
      </c>
      <c r="F6" s="10" t="s">
        <v>39</v>
      </c>
      <c r="G6" s="18">
        <f>Datos!$B$9</f>
      </c>
    </row>
    <row r="8" ht="42" customHeight="1" spans="1:12" x14ac:dyDescent="0.25">
      <c r="A8" s="19" t="s">
        <v>40</v>
      </c>
      <c r="B8" s="19" t="s">
        <v>41</v>
      </c>
      <c r="C8" s="19" t="s">
        <v>42</v>
      </c>
      <c r="D8" s="19" t="s">
        <v>43</v>
      </c>
      <c r="E8" s="19" t="s">
        <v>44</v>
      </c>
      <c r="F8" s="19" t="s">
        <v>45</v>
      </c>
      <c r="G8" s="19" t="s">
        <v>9</v>
      </c>
      <c r="H8" s="19" t="s">
        <v>46</v>
      </c>
      <c r="I8" s="19" t="s">
        <v>11</v>
      </c>
      <c r="J8" s="19" t="s">
        <v>47</v>
      </c>
      <c r="K8" s="19" t="s">
        <v>48</v>
      </c>
      <c r="L8" s="19" t="s">
        <v>49</v>
      </c>
    </row>
    <row r="9" ht="20" customHeight="1" spans="1:12" x14ac:dyDescent="0.25">
      <c r="A9" s="20">
        <f>IF($N$4+0&lt;$N$5,$N$4+0,"")</f>
      </c>
      <c r="B9" s="21">
        <f>IF(A9="","",INDEX(Listas!$A$2:$A$8,WEEKDAY(A9))&amp;IF(COUNTIF(Feriados!$A$6:$A$49,A9)&gt;0," · feriado",""))</f>
      </c>
      <c r="C9" s="22"/>
      <c r="D9" s="22"/>
      <c r="E9" s="22"/>
      <c r="F9" s="22"/>
      <c r="G9" s="23">
        <f>IF(AND(ISNUMBER(D9),ISNUMBER(E9)),ROUND(MOD(E9-D9,1)*1440,0)/1440,"")</f>
      </c>
      <c r="H9" s="23">
        <f>IF(AND(ISNUMBER(C9),ISNUMBER(F9)),ROUND(MOD(F9-C9,1)*1440,0)/1440-N(G9),"")</f>
      </c>
      <c r="I9" s="23">
        <f>IF(H9="","",MAX(0,ROUND((H9-$G$6/24)*1440,0)/1440))</f>
      </c>
      <c r="J9" s="24">
        <f>IF(AND(ISNUMBER(C9),NOT(ISNUMBER(F9))),"Falta la salida",IF(AND(ISNUMBER(F9),NOT(ISNUMBER(C9))),"Falta el ingreso",IF(AND(ISNUMBER(G9),G9&gt;0,G9&lt;45/1440),"Refrigerio menor a 45 min","")))</f>
      </c>
      <c r="K9" s="25"/>
      <c r="L9" s="25"/>
    </row>
    <row r="10" ht="20" customHeight="1" spans="1:12" x14ac:dyDescent="0.25">
      <c r="A10" s="20">
        <f>IF($N$4+1&lt;$N$5,$N$4+1,"")</f>
      </c>
      <c r="B10" s="21">
        <f>IF(A10="","",INDEX(Listas!$A$2:$A$8,WEEKDAY(A10))&amp;IF(COUNTIF(Feriados!$A$6:$A$49,A10)&gt;0," · feriado",""))</f>
      </c>
      <c r="C10" s="22"/>
      <c r="D10" s="22"/>
      <c r="E10" s="22"/>
      <c r="F10" s="22"/>
      <c r="G10" s="23">
        <f>IF(AND(ISNUMBER(D10),ISNUMBER(E10)),ROUND(MOD(E10-D10,1)*1440,0)/1440,"")</f>
      </c>
      <c r="H10" s="23">
        <f>IF(AND(ISNUMBER(C10),ISNUMBER(F10)),ROUND(MOD(F10-C10,1)*1440,0)/1440-N(G10),"")</f>
      </c>
      <c r="I10" s="23">
        <f>IF(H10="","",MAX(0,ROUND((H10-$G$6/24)*1440,0)/1440))</f>
      </c>
      <c r="J10" s="24">
        <f>IF(AND(ISNUMBER(C10),NOT(ISNUMBER(F10))),"Falta la salida",IF(AND(ISNUMBER(F10),NOT(ISNUMBER(C10))),"Falta el ingreso",IF(AND(ISNUMBER(G10),G10&gt;0,G10&lt;45/1440),"Refrigerio menor a 45 min","")))</f>
      </c>
      <c r="K10" s="25"/>
      <c r="L10" s="25"/>
    </row>
    <row r="11" ht="20" customHeight="1" spans="1:12" x14ac:dyDescent="0.25">
      <c r="A11" s="20">
        <f>IF($N$4+2&lt;$N$5,$N$4+2,"")</f>
      </c>
      <c r="B11" s="21">
        <f>IF(A11="","",INDEX(Listas!$A$2:$A$8,WEEKDAY(A11))&amp;IF(COUNTIF(Feriados!$A$6:$A$49,A11)&gt;0," · feriado",""))</f>
      </c>
      <c r="C11" s="22"/>
      <c r="D11" s="22"/>
      <c r="E11" s="22"/>
      <c r="F11" s="22"/>
      <c r="G11" s="23">
        <f>IF(AND(ISNUMBER(D11),ISNUMBER(E11)),ROUND(MOD(E11-D11,1)*1440,0)/1440,"")</f>
      </c>
      <c r="H11" s="23">
        <f>IF(AND(ISNUMBER(C11),ISNUMBER(F11)),ROUND(MOD(F11-C11,1)*1440,0)/1440-N(G11),"")</f>
      </c>
      <c r="I11" s="23">
        <f>IF(H11="","",MAX(0,ROUND((H11-$G$6/24)*1440,0)/1440))</f>
      </c>
      <c r="J11" s="24">
        <f>IF(AND(ISNUMBER(C11),NOT(ISNUMBER(F11))),"Falta la salida",IF(AND(ISNUMBER(F11),NOT(ISNUMBER(C11))),"Falta el ingreso",IF(AND(ISNUMBER(G11),G11&gt;0,G11&lt;45/1440),"Refrigerio menor a 45 min","")))</f>
      </c>
      <c r="K11" s="25"/>
      <c r="L11" s="25"/>
    </row>
    <row r="12" ht="20" customHeight="1" spans="1:12" x14ac:dyDescent="0.25">
      <c r="A12" s="20">
        <f>IF($N$4+3&lt;$N$5,$N$4+3,"")</f>
      </c>
      <c r="B12" s="21">
        <f>IF(A12="","",INDEX(Listas!$A$2:$A$8,WEEKDAY(A12))&amp;IF(COUNTIF(Feriados!$A$6:$A$49,A12)&gt;0," · feriado",""))</f>
      </c>
      <c r="C12" s="22"/>
      <c r="D12" s="22"/>
      <c r="E12" s="22"/>
      <c r="F12" s="22"/>
      <c r="G12" s="23">
        <f>IF(AND(ISNUMBER(D12),ISNUMBER(E12)),ROUND(MOD(E12-D12,1)*1440,0)/1440,"")</f>
      </c>
      <c r="H12" s="23">
        <f>IF(AND(ISNUMBER(C12),ISNUMBER(F12)),ROUND(MOD(F12-C12,1)*1440,0)/1440-N(G12),"")</f>
      </c>
      <c r="I12" s="23">
        <f>IF(H12="","",MAX(0,ROUND((H12-$G$6/24)*1440,0)/1440))</f>
      </c>
      <c r="J12" s="24">
        <f>IF(AND(ISNUMBER(C12),NOT(ISNUMBER(F12))),"Falta la salida",IF(AND(ISNUMBER(F12),NOT(ISNUMBER(C12))),"Falta el ingreso",IF(AND(ISNUMBER(G12),G12&gt;0,G12&lt;45/1440),"Refrigerio menor a 45 min","")))</f>
      </c>
      <c r="K12" s="25"/>
      <c r="L12" s="25"/>
    </row>
    <row r="13" ht="20" customHeight="1" spans="1:12" x14ac:dyDescent="0.25">
      <c r="A13" s="20">
        <f>IF($N$4+4&lt;$N$5,$N$4+4,"")</f>
      </c>
      <c r="B13" s="21">
        <f>IF(A13="","",INDEX(Listas!$A$2:$A$8,WEEKDAY(A13))&amp;IF(COUNTIF(Feriados!$A$6:$A$49,A13)&gt;0," · feriado",""))</f>
      </c>
      <c r="C13" s="22"/>
      <c r="D13" s="22"/>
      <c r="E13" s="22"/>
      <c r="F13" s="22"/>
      <c r="G13" s="23">
        <f>IF(AND(ISNUMBER(D13),ISNUMBER(E13)),ROUND(MOD(E13-D13,1)*1440,0)/1440,"")</f>
      </c>
      <c r="H13" s="23">
        <f>IF(AND(ISNUMBER(C13),ISNUMBER(F13)),ROUND(MOD(F13-C13,1)*1440,0)/1440-N(G13),"")</f>
      </c>
      <c r="I13" s="23">
        <f>IF(H13="","",MAX(0,ROUND((H13-$G$6/24)*1440,0)/1440))</f>
      </c>
      <c r="J13" s="24">
        <f>IF(AND(ISNUMBER(C13),NOT(ISNUMBER(F13))),"Falta la salida",IF(AND(ISNUMBER(F13),NOT(ISNUMBER(C13))),"Falta el ingreso",IF(AND(ISNUMBER(G13),G13&gt;0,G13&lt;45/1440),"Refrigerio menor a 45 min","")))</f>
      </c>
      <c r="K13" s="25"/>
      <c r="L13" s="25"/>
    </row>
    <row r="14" ht="20" customHeight="1" spans="1:12" x14ac:dyDescent="0.25">
      <c r="A14" s="20">
        <f>IF($N$4+5&lt;$N$5,$N$4+5,"")</f>
      </c>
      <c r="B14" s="21">
        <f>IF(A14="","",INDEX(Listas!$A$2:$A$8,WEEKDAY(A14))&amp;IF(COUNTIF(Feriados!$A$6:$A$49,A14)&gt;0," · feriado",""))</f>
      </c>
      <c r="C14" s="22"/>
      <c r="D14" s="22"/>
      <c r="E14" s="22"/>
      <c r="F14" s="22"/>
      <c r="G14" s="23">
        <f>IF(AND(ISNUMBER(D14),ISNUMBER(E14)),ROUND(MOD(E14-D14,1)*1440,0)/1440,"")</f>
      </c>
      <c r="H14" s="23">
        <f>IF(AND(ISNUMBER(C14),ISNUMBER(F14)),ROUND(MOD(F14-C14,1)*1440,0)/1440-N(G14),"")</f>
      </c>
      <c r="I14" s="23">
        <f>IF(H14="","",MAX(0,ROUND((H14-$G$6/24)*1440,0)/1440))</f>
      </c>
      <c r="J14" s="24">
        <f>IF(AND(ISNUMBER(C14),NOT(ISNUMBER(F14))),"Falta la salida",IF(AND(ISNUMBER(F14),NOT(ISNUMBER(C14))),"Falta el ingreso",IF(AND(ISNUMBER(G14),G14&gt;0,G14&lt;45/1440),"Refrigerio menor a 45 min","")))</f>
      </c>
      <c r="K14" s="25"/>
      <c r="L14" s="25"/>
    </row>
    <row r="15" ht="20" customHeight="1" spans="1:12" x14ac:dyDescent="0.25">
      <c r="A15" s="20">
        <f>IF($N$4+6&lt;$N$5,$N$4+6,"")</f>
      </c>
      <c r="B15" s="21">
        <f>IF(A15="","",INDEX(Listas!$A$2:$A$8,WEEKDAY(A15))&amp;IF(COUNTIF(Feriados!$A$6:$A$49,A15)&gt;0," · feriado",""))</f>
      </c>
      <c r="C15" s="22"/>
      <c r="D15" s="22"/>
      <c r="E15" s="22"/>
      <c r="F15" s="22"/>
      <c r="G15" s="23">
        <f>IF(AND(ISNUMBER(D15),ISNUMBER(E15)),ROUND(MOD(E15-D15,1)*1440,0)/1440,"")</f>
      </c>
      <c r="H15" s="23">
        <f>IF(AND(ISNUMBER(C15),ISNUMBER(F15)),ROUND(MOD(F15-C15,1)*1440,0)/1440-N(G15),"")</f>
      </c>
      <c r="I15" s="23">
        <f>IF(H15="","",MAX(0,ROUND((H15-$G$6/24)*1440,0)/1440))</f>
      </c>
      <c r="J15" s="24">
        <f>IF(AND(ISNUMBER(C15),NOT(ISNUMBER(F15))),"Falta la salida",IF(AND(ISNUMBER(F15),NOT(ISNUMBER(C15))),"Falta el ingreso",IF(AND(ISNUMBER(G15),G15&gt;0,G15&lt;45/1440),"Refrigerio menor a 45 min","")))</f>
      </c>
      <c r="K15" s="25"/>
      <c r="L15" s="25"/>
    </row>
    <row r="16" ht="20" customHeight="1" spans="1:12" x14ac:dyDescent="0.25">
      <c r="A16" s="20">
        <f>IF($N$4+7&lt;$N$5,$N$4+7,"")</f>
      </c>
      <c r="B16" s="21">
        <f>IF(A16="","",INDEX(Listas!$A$2:$A$8,WEEKDAY(A16))&amp;IF(COUNTIF(Feriados!$A$6:$A$49,A16)&gt;0," · feriado",""))</f>
      </c>
      <c r="C16" s="22"/>
      <c r="D16" s="22"/>
      <c r="E16" s="22"/>
      <c r="F16" s="22"/>
      <c r="G16" s="23">
        <f>IF(AND(ISNUMBER(D16),ISNUMBER(E16)),ROUND(MOD(E16-D16,1)*1440,0)/1440,"")</f>
      </c>
      <c r="H16" s="23">
        <f>IF(AND(ISNUMBER(C16),ISNUMBER(F16)),ROUND(MOD(F16-C16,1)*1440,0)/1440-N(G16),"")</f>
      </c>
      <c r="I16" s="23">
        <f>IF(H16="","",MAX(0,ROUND((H16-$G$6/24)*1440,0)/1440))</f>
      </c>
      <c r="J16" s="24">
        <f>IF(AND(ISNUMBER(C16),NOT(ISNUMBER(F16))),"Falta la salida",IF(AND(ISNUMBER(F16),NOT(ISNUMBER(C16))),"Falta el ingreso",IF(AND(ISNUMBER(G16),G16&gt;0,G16&lt;45/1440),"Refrigerio menor a 45 min","")))</f>
      </c>
      <c r="K16" s="25"/>
      <c r="L16" s="25"/>
    </row>
    <row r="17" ht="20" customHeight="1" spans="1:12" x14ac:dyDescent="0.25">
      <c r="A17" s="20">
        <f>IF($N$4+8&lt;$N$5,$N$4+8,"")</f>
      </c>
      <c r="B17" s="21">
        <f>IF(A17="","",INDEX(Listas!$A$2:$A$8,WEEKDAY(A17))&amp;IF(COUNTIF(Feriados!$A$6:$A$49,A17)&gt;0," · feriado",""))</f>
      </c>
      <c r="C17" s="22"/>
      <c r="D17" s="22"/>
      <c r="E17" s="22"/>
      <c r="F17" s="22"/>
      <c r="G17" s="23">
        <f>IF(AND(ISNUMBER(D17),ISNUMBER(E17)),ROUND(MOD(E17-D17,1)*1440,0)/1440,"")</f>
      </c>
      <c r="H17" s="23">
        <f>IF(AND(ISNUMBER(C17),ISNUMBER(F17)),ROUND(MOD(F17-C17,1)*1440,0)/1440-N(G17),"")</f>
      </c>
      <c r="I17" s="23">
        <f>IF(H17="","",MAX(0,ROUND((H17-$G$6/24)*1440,0)/1440))</f>
      </c>
      <c r="J17" s="24">
        <f>IF(AND(ISNUMBER(C17),NOT(ISNUMBER(F17))),"Falta la salida",IF(AND(ISNUMBER(F17),NOT(ISNUMBER(C17))),"Falta el ingreso",IF(AND(ISNUMBER(G17),G17&gt;0,G17&lt;45/1440),"Refrigerio menor a 45 min","")))</f>
      </c>
      <c r="K17" s="25"/>
      <c r="L17" s="25"/>
    </row>
    <row r="18" ht="20" customHeight="1" spans="1:12" x14ac:dyDescent="0.25">
      <c r="A18" s="20">
        <f>IF($N$4+9&lt;$N$5,$N$4+9,"")</f>
      </c>
      <c r="B18" s="21">
        <f>IF(A18="","",INDEX(Listas!$A$2:$A$8,WEEKDAY(A18))&amp;IF(COUNTIF(Feriados!$A$6:$A$49,A18)&gt;0," · feriado",""))</f>
      </c>
      <c r="C18" s="22"/>
      <c r="D18" s="22"/>
      <c r="E18" s="22"/>
      <c r="F18" s="22"/>
      <c r="G18" s="23">
        <f>IF(AND(ISNUMBER(D18),ISNUMBER(E18)),ROUND(MOD(E18-D18,1)*1440,0)/1440,"")</f>
      </c>
      <c r="H18" s="23">
        <f>IF(AND(ISNUMBER(C18),ISNUMBER(F18)),ROUND(MOD(F18-C18,1)*1440,0)/1440-N(G18),"")</f>
      </c>
      <c r="I18" s="23">
        <f>IF(H18="","",MAX(0,ROUND((H18-$G$6/24)*1440,0)/1440))</f>
      </c>
      <c r="J18" s="24">
        <f>IF(AND(ISNUMBER(C18),NOT(ISNUMBER(F18))),"Falta la salida",IF(AND(ISNUMBER(F18),NOT(ISNUMBER(C18))),"Falta el ingreso",IF(AND(ISNUMBER(G18),G18&gt;0,G18&lt;45/1440),"Refrigerio menor a 45 min","")))</f>
      </c>
      <c r="K18" s="25"/>
      <c r="L18" s="25"/>
    </row>
    <row r="19" ht="20" customHeight="1" spans="1:12" x14ac:dyDescent="0.25">
      <c r="A19" s="20">
        <f>IF($N$4+10&lt;$N$5,$N$4+10,"")</f>
      </c>
      <c r="B19" s="21">
        <f>IF(A19="","",INDEX(Listas!$A$2:$A$8,WEEKDAY(A19))&amp;IF(COUNTIF(Feriados!$A$6:$A$49,A19)&gt;0," · feriado",""))</f>
      </c>
      <c r="C19" s="22"/>
      <c r="D19" s="22"/>
      <c r="E19" s="22"/>
      <c r="F19" s="22"/>
      <c r="G19" s="23">
        <f>IF(AND(ISNUMBER(D19),ISNUMBER(E19)),ROUND(MOD(E19-D19,1)*1440,0)/1440,"")</f>
      </c>
      <c r="H19" s="23">
        <f>IF(AND(ISNUMBER(C19),ISNUMBER(F19)),ROUND(MOD(F19-C19,1)*1440,0)/1440-N(G19),"")</f>
      </c>
      <c r="I19" s="23">
        <f>IF(H19="","",MAX(0,ROUND((H19-$G$6/24)*1440,0)/1440))</f>
      </c>
      <c r="J19" s="24">
        <f>IF(AND(ISNUMBER(C19),NOT(ISNUMBER(F19))),"Falta la salida",IF(AND(ISNUMBER(F19),NOT(ISNUMBER(C19))),"Falta el ingreso",IF(AND(ISNUMBER(G19),G19&gt;0,G19&lt;45/1440),"Refrigerio menor a 45 min","")))</f>
      </c>
      <c r="K19" s="25"/>
      <c r="L19" s="25"/>
    </row>
    <row r="20" ht="20" customHeight="1" spans="1:12" x14ac:dyDescent="0.25">
      <c r="A20" s="20">
        <f>IF($N$4+11&lt;$N$5,$N$4+11,"")</f>
      </c>
      <c r="B20" s="21">
        <f>IF(A20="","",INDEX(Listas!$A$2:$A$8,WEEKDAY(A20))&amp;IF(COUNTIF(Feriados!$A$6:$A$49,A20)&gt;0," · feriado",""))</f>
      </c>
      <c r="C20" s="22"/>
      <c r="D20" s="22"/>
      <c r="E20" s="22"/>
      <c r="F20" s="22"/>
      <c r="G20" s="23">
        <f>IF(AND(ISNUMBER(D20),ISNUMBER(E20)),ROUND(MOD(E20-D20,1)*1440,0)/1440,"")</f>
      </c>
      <c r="H20" s="23">
        <f>IF(AND(ISNUMBER(C20),ISNUMBER(F20)),ROUND(MOD(F20-C20,1)*1440,0)/1440-N(G20),"")</f>
      </c>
      <c r="I20" s="23">
        <f>IF(H20="","",MAX(0,ROUND((H20-$G$6/24)*1440,0)/1440))</f>
      </c>
      <c r="J20" s="24">
        <f>IF(AND(ISNUMBER(C20),NOT(ISNUMBER(F20))),"Falta la salida",IF(AND(ISNUMBER(F20),NOT(ISNUMBER(C20))),"Falta el ingreso",IF(AND(ISNUMBER(G20),G20&gt;0,G20&lt;45/1440),"Refrigerio menor a 45 min","")))</f>
      </c>
      <c r="K20" s="25"/>
      <c r="L20" s="25"/>
    </row>
    <row r="21" ht="20" customHeight="1" spans="1:12" x14ac:dyDescent="0.25">
      <c r="A21" s="20">
        <f>IF($N$4+12&lt;$N$5,$N$4+12,"")</f>
      </c>
      <c r="B21" s="21">
        <f>IF(A21="","",INDEX(Listas!$A$2:$A$8,WEEKDAY(A21))&amp;IF(COUNTIF(Feriados!$A$6:$A$49,A21)&gt;0," · feriado",""))</f>
      </c>
      <c r="C21" s="22"/>
      <c r="D21" s="22"/>
      <c r="E21" s="22"/>
      <c r="F21" s="22"/>
      <c r="G21" s="23">
        <f>IF(AND(ISNUMBER(D21),ISNUMBER(E21)),ROUND(MOD(E21-D21,1)*1440,0)/1440,"")</f>
      </c>
      <c r="H21" s="23">
        <f>IF(AND(ISNUMBER(C21),ISNUMBER(F21)),ROUND(MOD(F21-C21,1)*1440,0)/1440-N(G21),"")</f>
      </c>
      <c r="I21" s="23">
        <f>IF(H21="","",MAX(0,ROUND((H21-$G$6/24)*1440,0)/1440))</f>
      </c>
      <c r="J21" s="24">
        <f>IF(AND(ISNUMBER(C21),NOT(ISNUMBER(F21))),"Falta la salida",IF(AND(ISNUMBER(F21),NOT(ISNUMBER(C21))),"Falta el ingreso",IF(AND(ISNUMBER(G21),G21&gt;0,G21&lt;45/1440),"Refrigerio menor a 45 min","")))</f>
      </c>
      <c r="K21" s="25"/>
      <c r="L21" s="25"/>
    </row>
    <row r="22" ht="20" customHeight="1" spans="1:12" x14ac:dyDescent="0.25">
      <c r="A22" s="20">
        <f>IF($N$4+13&lt;$N$5,$N$4+13,"")</f>
      </c>
      <c r="B22" s="21">
        <f>IF(A22="","",INDEX(Listas!$A$2:$A$8,WEEKDAY(A22))&amp;IF(COUNTIF(Feriados!$A$6:$A$49,A22)&gt;0," · feriado",""))</f>
      </c>
      <c r="C22" s="22"/>
      <c r="D22" s="22"/>
      <c r="E22" s="22"/>
      <c r="F22" s="22"/>
      <c r="G22" s="23">
        <f>IF(AND(ISNUMBER(D22),ISNUMBER(E22)),ROUND(MOD(E22-D22,1)*1440,0)/1440,"")</f>
      </c>
      <c r="H22" s="23">
        <f>IF(AND(ISNUMBER(C22),ISNUMBER(F22)),ROUND(MOD(F22-C22,1)*1440,0)/1440-N(G22),"")</f>
      </c>
      <c r="I22" s="23">
        <f>IF(H22="","",MAX(0,ROUND((H22-$G$6/24)*1440,0)/1440))</f>
      </c>
      <c r="J22" s="24">
        <f>IF(AND(ISNUMBER(C22),NOT(ISNUMBER(F22))),"Falta la salida",IF(AND(ISNUMBER(F22),NOT(ISNUMBER(C22))),"Falta el ingreso",IF(AND(ISNUMBER(G22),G22&gt;0,G22&lt;45/1440),"Refrigerio menor a 45 min","")))</f>
      </c>
      <c r="K22" s="25"/>
      <c r="L22" s="25"/>
    </row>
    <row r="23" ht="20" customHeight="1" spans="1:12" x14ac:dyDescent="0.25">
      <c r="A23" s="20">
        <f>IF($N$4+14&lt;$N$5,$N$4+14,"")</f>
      </c>
      <c r="B23" s="21">
        <f>IF(A23="","",INDEX(Listas!$A$2:$A$8,WEEKDAY(A23))&amp;IF(COUNTIF(Feriados!$A$6:$A$49,A23)&gt;0," · feriado",""))</f>
      </c>
      <c r="C23" s="22"/>
      <c r="D23" s="22"/>
      <c r="E23" s="22"/>
      <c r="F23" s="22"/>
      <c r="G23" s="23">
        <f>IF(AND(ISNUMBER(D23),ISNUMBER(E23)),ROUND(MOD(E23-D23,1)*1440,0)/1440,"")</f>
      </c>
      <c r="H23" s="23">
        <f>IF(AND(ISNUMBER(C23),ISNUMBER(F23)),ROUND(MOD(F23-C23,1)*1440,0)/1440-N(G23),"")</f>
      </c>
      <c r="I23" s="23">
        <f>IF(H23="","",MAX(0,ROUND((H23-$G$6/24)*1440,0)/1440))</f>
      </c>
      <c r="J23" s="24">
        <f>IF(AND(ISNUMBER(C23),NOT(ISNUMBER(F23))),"Falta la salida",IF(AND(ISNUMBER(F23),NOT(ISNUMBER(C23))),"Falta el ingreso",IF(AND(ISNUMBER(G23),G23&gt;0,G23&lt;45/1440),"Refrigerio menor a 45 min","")))</f>
      </c>
      <c r="K23" s="25"/>
      <c r="L23" s="25"/>
    </row>
    <row r="24" ht="20" customHeight="1" spans="1:12" x14ac:dyDescent="0.25">
      <c r="A24" s="20">
        <f>IF($N$4+15&lt;$N$5,$N$4+15,"")</f>
      </c>
      <c r="B24" s="21">
        <f>IF(A24="","",INDEX(Listas!$A$2:$A$8,WEEKDAY(A24))&amp;IF(COUNTIF(Feriados!$A$6:$A$49,A24)&gt;0," · feriado",""))</f>
      </c>
      <c r="C24" s="22"/>
      <c r="D24" s="22"/>
      <c r="E24" s="22"/>
      <c r="F24" s="22"/>
      <c r="G24" s="23">
        <f>IF(AND(ISNUMBER(D24),ISNUMBER(E24)),ROUND(MOD(E24-D24,1)*1440,0)/1440,"")</f>
      </c>
      <c r="H24" s="23">
        <f>IF(AND(ISNUMBER(C24),ISNUMBER(F24)),ROUND(MOD(F24-C24,1)*1440,0)/1440-N(G24),"")</f>
      </c>
      <c r="I24" s="23">
        <f>IF(H24="","",MAX(0,ROUND((H24-$G$6/24)*1440,0)/1440))</f>
      </c>
      <c r="J24" s="24">
        <f>IF(AND(ISNUMBER(C24),NOT(ISNUMBER(F24))),"Falta la salida",IF(AND(ISNUMBER(F24),NOT(ISNUMBER(C24))),"Falta el ingreso",IF(AND(ISNUMBER(G24),G24&gt;0,G24&lt;45/1440),"Refrigerio menor a 45 min","")))</f>
      </c>
      <c r="K24" s="25"/>
      <c r="L24" s="25"/>
    </row>
    <row r="25" ht="20" customHeight="1" spans="1:12" x14ac:dyDescent="0.25">
      <c r="A25" s="20">
        <f>IF($N$4+16&lt;$N$5,$N$4+16,"")</f>
      </c>
      <c r="B25" s="21">
        <f>IF(A25="","",INDEX(Listas!$A$2:$A$8,WEEKDAY(A25))&amp;IF(COUNTIF(Feriados!$A$6:$A$49,A25)&gt;0," · feriado",""))</f>
      </c>
      <c r="C25" s="22"/>
      <c r="D25" s="22"/>
      <c r="E25" s="22"/>
      <c r="F25" s="22"/>
      <c r="G25" s="23">
        <f>IF(AND(ISNUMBER(D25),ISNUMBER(E25)),ROUND(MOD(E25-D25,1)*1440,0)/1440,"")</f>
      </c>
      <c r="H25" s="23">
        <f>IF(AND(ISNUMBER(C25),ISNUMBER(F25)),ROUND(MOD(F25-C25,1)*1440,0)/1440-N(G25),"")</f>
      </c>
      <c r="I25" s="23">
        <f>IF(H25="","",MAX(0,ROUND((H25-$G$6/24)*1440,0)/1440))</f>
      </c>
      <c r="J25" s="24">
        <f>IF(AND(ISNUMBER(C25),NOT(ISNUMBER(F25))),"Falta la salida",IF(AND(ISNUMBER(F25),NOT(ISNUMBER(C25))),"Falta el ingreso",IF(AND(ISNUMBER(G25),G25&gt;0,G25&lt;45/1440),"Refrigerio menor a 45 min","")))</f>
      </c>
      <c r="K25" s="25"/>
      <c r="L25" s="25"/>
    </row>
    <row r="26" ht="20" customHeight="1" spans="1:12" x14ac:dyDescent="0.25">
      <c r="A26" s="20">
        <f>IF($N$4+17&lt;$N$5,$N$4+17,"")</f>
      </c>
      <c r="B26" s="21">
        <f>IF(A26="","",INDEX(Listas!$A$2:$A$8,WEEKDAY(A26))&amp;IF(COUNTIF(Feriados!$A$6:$A$49,A26)&gt;0," · feriado",""))</f>
      </c>
      <c r="C26" s="22"/>
      <c r="D26" s="22"/>
      <c r="E26" s="22"/>
      <c r="F26" s="22"/>
      <c r="G26" s="23">
        <f>IF(AND(ISNUMBER(D26),ISNUMBER(E26)),ROUND(MOD(E26-D26,1)*1440,0)/1440,"")</f>
      </c>
      <c r="H26" s="23">
        <f>IF(AND(ISNUMBER(C26),ISNUMBER(F26)),ROUND(MOD(F26-C26,1)*1440,0)/1440-N(G26),"")</f>
      </c>
      <c r="I26" s="23">
        <f>IF(H26="","",MAX(0,ROUND((H26-$G$6/24)*1440,0)/1440))</f>
      </c>
      <c r="J26" s="24">
        <f>IF(AND(ISNUMBER(C26),NOT(ISNUMBER(F26))),"Falta la salida",IF(AND(ISNUMBER(F26),NOT(ISNUMBER(C26))),"Falta el ingreso",IF(AND(ISNUMBER(G26),G26&gt;0,G26&lt;45/1440),"Refrigerio menor a 45 min","")))</f>
      </c>
      <c r="K26" s="25"/>
      <c r="L26" s="25"/>
    </row>
    <row r="27" ht="20" customHeight="1" spans="1:12" x14ac:dyDescent="0.25">
      <c r="A27" s="20">
        <f>IF($N$4+18&lt;$N$5,$N$4+18,"")</f>
      </c>
      <c r="B27" s="21">
        <f>IF(A27="","",INDEX(Listas!$A$2:$A$8,WEEKDAY(A27))&amp;IF(COUNTIF(Feriados!$A$6:$A$49,A27)&gt;0," · feriado",""))</f>
      </c>
      <c r="C27" s="22"/>
      <c r="D27" s="22"/>
      <c r="E27" s="22"/>
      <c r="F27" s="22"/>
      <c r="G27" s="23">
        <f>IF(AND(ISNUMBER(D27),ISNUMBER(E27)),ROUND(MOD(E27-D27,1)*1440,0)/1440,"")</f>
      </c>
      <c r="H27" s="23">
        <f>IF(AND(ISNUMBER(C27),ISNUMBER(F27)),ROUND(MOD(F27-C27,1)*1440,0)/1440-N(G27),"")</f>
      </c>
      <c r="I27" s="23">
        <f>IF(H27="","",MAX(0,ROUND((H27-$G$6/24)*1440,0)/1440))</f>
      </c>
      <c r="J27" s="24">
        <f>IF(AND(ISNUMBER(C27),NOT(ISNUMBER(F27))),"Falta la salida",IF(AND(ISNUMBER(F27),NOT(ISNUMBER(C27))),"Falta el ingreso",IF(AND(ISNUMBER(G27),G27&gt;0,G27&lt;45/1440),"Refrigerio menor a 45 min","")))</f>
      </c>
      <c r="K27" s="25"/>
      <c r="L27" s="25"/>
    </row>
    <row r="28" ht="20" customHeight="1" spans="1:12" x14ac:dyDescent="0.25">
      <c r="A28" s="20">
        <f>IF($N$4+19&lt;$N$5,$N$4+19,"")</f>
      </c>
      <c r="B28" s="21">
        <f>IF(A28="","",INDEX(Listas!$A$2:$A$8,WEEKDAY(A28))&amp;IF(COUNTIF(Feriados!$A$6:$A$49,A28)&gt;0," · feriado",""))</f>
      </c>
      <c r="C28" s="22"/>
      <c r="D28" s="22"/>
      <c r="E28" s="22"/>
      <c r="F28" s="22"/>
      <c r="G28" s="23">
        <f>IF(AND(ISNUMBER(D28),ISNUMBER(E28)),ROUND(MOD(E28-D28,1)*1440,0)/1440,"")</f>
      </c>
      <c r="H28" s="23">
        <f>IF(AND(ISNUMBER(C28),ISNUMBER(F28)),ROUND(MOD(F28-C28,1)*1440,0)/1440-N(G28),"")</f>
      </c>
      <c r="I28" s="23">
        <f>IF(H28="","",MAX(0,ROUND((H28-$G$6/24)*1440,0)/1440))</f>
      </c>
      <c r="J28" s="24">
        <f>IF(AND(ISNUMBER(C28),NOT(ISNUMBER(F28))),"Falta la salida",IF(AND(ISNUMBER(F28),NOT(ISNUMBER(C28))),"Falta el ingreso",IF(AND(ISNUMBER(G28),G28&gt;0,G28&lt;45/1440),"Refrigerio menor a 45 min","")))</f>
      </c>
      <c r="K28" s="25"/>
      <c r="L28" s="25"/>
    </row>
    <row r="29" ht="20" customHeight="1" spans="1:12" x14ac:dyDescent="0.25">
      <c r="A29" s="20">
        <f>IF($N$4+20&lt;$N$5,$N$4+20,"")</f>
      </c>
      <c r="B29" s="21">
        <f>IF(A29="","",INDEX(Listas!$A$2:$A$8,WEEKDAY(A29))&amp;IF(COUNTIF(Feriados!$A$6:$A$49,A29)&gt;0," · feriado",""))</f>
      </c>
      <c r="C29" s="22"/>
      <c r="D29" s="22"/>
      <c r="E29" s="22"/>
      <c r="F29" s="22"/>
      <c r="G29" s="23">
        <f>IF(AND(ISNUMBER(D29),ISNUMBER(E29)),ROUND(MOD(E29-D29,1)*1440,0)/1440,"")</f>
      </c>
      <c r="H29" s="23">
        <f>IF(AND(ISNUMBER(C29),ISNUMBER(F29)),ROUND(MOD(F29-C29,1)*1440,0)/1440-N(G29),"")</f>
      </c>
      <c r="I29" s="23">
        <f>IF(H29="","",MAX(0,ROUND((H29-$G$6/24)*1440,0)/1440))</f>
      </c>
      <c r="J29" s="24">
        <f>IF(AND(ISNUMBER(C29),NOT(ISNUMBER(F29))),"Falta la salida",IF(AND(ISNUMBER(F29),NOT(ISNUMBER(C29))),"Falta el ingreso",IF(AND(ISNUMBER(G29),G29&gt;0,G29&lt;45/1440),"Refrigerio menor a 45 min","")))</f>
      </c>
      <c r="K29" s="25"/>
      <c r="L29" s="25"/>
    </row>
    <row r="30" ht="20" customHeight="1" spans="1:12" x14ac:dyDescent="0.25">
      <c r="A30" s="20">
        <f>IF($N$4+21&lt;$N$5,$N$4+21,"")</f>
      </c>
      <c r="B30" s="21">
        <f>IF(A30="","",INDEX(Listas!$A$2:$A$8,WEEKDAY(A30))&amp;IF(COUNTIF(Feriados!$A$6:$A$49,A30)&gt;0," · feriado",""))</f>
      </c>
      <c r="C30" s="22"/>
      <c r="D30" s="22"/>
      <c r="E30" s="22"/>
      <c r="F30" s="22"/>
      <c r="G30" s="23">
        <f>IF(AND(ISNUMBER(D30),ISNUMBER(E30)),ROUND(MOD(E30-D30,1)*1440,0)/1440,"")</f>
      </c>
      <c r="H30" s="23">
        <f>IF(AND(ISNUMBER(C30),ISNUMBER(F30)),ROUND(MOD(F30-C30,1)*1440,0)/1440-N(G30),"")</f>
      </c>
      <c r="I30" s="23">
        <f>IF(H30="","",MAX(0,ROUND((H30-$G$6/24)*1440,0)/1440))</f>
      </c>
      <c r="J30" s="24">
        <f>IF(AND(ISNUMBER(C30),NOT(ISNUMBER(F30))),"Falta la salida",IF(AND(ISNUMBER(F30),NOT(ISNUMBER(C30))),"Falta el ingreso",IF(AND(ISNUMBER(G30),G30&gt;0,G30&lt;45/1440),"Refrigerio menor a 45 min","")))</f>
      </c>
      <c r="K30" s="25"/>
      <c r="L30" s="25"/>
    </row>
    <row r="31" ht="20" customHeight="1" spans="1:12" x14ac:dyDescent="0.25">
      <c r="A31" s="20">
        <f>IF($N$4+22&lt;$N$5,$N$4+22,"")</f>
      </c>
      <c r="B31" s="21">
        <f>IF(A31="","",INDEX(Listas!$A$2:$A$8,WEEKDAY(A31))&amp;IF(COUNTIF(Feriados!$A$6:$A$49,A31)&gt;0," · feriado",""))</f>
      </c>
      <c r="C31" s="22"/>
      <c r="D31" s="22"/>
      <c r="E31" s="22"/>
      <c r="F31" s="22"/>
      <c r="G31" s="23">
        <f>IF(AND(ISNUMBER(D31),ISNUMBER(E31)),ROUND(MOD(E31-D31,1)*1440,0)/1440,"")</f>
      </c>
      <c r="H31" s="23">
        <f>IF(AND(ISNUMBER(C31),ISNUMBER(F31)),ROUND(MOD(F31-C31,1)*1440,0)/1440-N(G31),"")</f>
      </c>
      <c r="I31" s="23">
        <f>IF(H31="","",MAX(0,ROUND((H31-$G$6/24)*1440,0)/1440))</f>
      </c>
      <c r="J31" s="24">
        <f>IF(AND(ISNUMBER(C31),NOT(ISNUMBER(F31))),"Falta la salida",IF(AND(ISNUMBER(F31),NOT(ISNUMBER(C31))),"Falta el ingreso",IF(AND(ISNUMBER(G31),G31&gt;0,G31&lt;45/1440),"Refrigerio menor a 45 min","")))</f>
      </c>
      <c r="K31" s="25"/>
      <c r="L31" s="25"/>
    </row>
    <row r="32" ht="20" customHeight="1" spans="1:12" x14ac:dyDescent="0.25">
      <c r="A32" s="20">
        <f>IF($N$4+23&lt;$N$5,$N$4+23,"")</f>
      </c>
      <c r="B32" s="21">
        <f>IF(A32="","",INDEX(Listas!$A$2:$A$8,WEEKDAY(A32))&amp;IF(COUNTIF(Feriados!$A$6:$A$49,A32)&gt;0," · feriado",""))</f>
      </c>
      <c r="C32" s="22"/>
      <c r="D32" s="22"/>
      <c r="E32" s="22"/>
      <c r="F32" s="22"/>
      <c r="G32" s="23">
        <f>IF(AND(ISNUMBER(D32),ISNUMBER(E32)),ROUND(MOD(E32-D32,1)*1440,0)/1440,"")</f>
      </c>
      <c r="H32" s="23">
        <f>IF(AND(ISNUMBER(C32),ISNUMBER(F32)),ROUND(MOD(F32-C32,1)*1440,0)/1440-N(G32),"")</f>
      </c>
      <c r="I32" s="23">
        <f>IF(H32="","",MAX(0,ROUND((H32-$G$6/24)*1440,0)/1440))</f>
      </c>
      <c r="J32" s="24">
        <f>IF(AND(ISNUMBER(C32),NOT(ISNUMBER(F32))),"Falta la salida",IF(AND(ISNUMBER(F32),NOT(ISNUMBER(C32))),"Falta el ingreso",IF(AND(ISNUMBER(G32),G32&gt;0,G32&lt;45/1440),"Refrigerio menor a 45 min","")))</f>
      </c>
      <c r="K32" s="25"/>
      <c r="L32" s="25"/>
    </row>
    <row r="33" ht="20" customHeight="1" spans="1:12" x14ac:dyDescent="0.25">
      <c r="A33" s="20">
        <f>IF($N$4+24&lt;$N$5,$N$4+24,"")</f>
      </c>
      <c r="B33" s="21">
        <f>IF(A33="","",INDEX(Listas!$A$2:$A$8,WEEKDAY(A33))&amp;IF(COUNTIF(Feriados!$A$6:$A$49,A33)&gt;0," · feriado",""))</f>
      </c>
      <c r="C33" s="22"/>
      <c r="D33" s="22"/>
      <c r="E33" s="22"/>
      <c r="F33" s="22"/>
      <c r="G33" s="23">
        <f>IF(AND(ISNUMBER(D33),ISNUMBER(E33)),ROUND(MOD(E33-D33,1)*1440,0)/1440,"")</f>
      </c>
      <c r="H33" s="23">
        <f>IF(AND(ISNUMBER(C33),ISNUMBER(F33)),ROUND(MOD(F33-C33,1)*1440,0)/1440-N(G33),"")</f>
      </c>
      <c r="I33" s="23">
        <f>IF(H33="","",MAX(0,ROUND((H33-$G$6/24)*1440,0)/1440))</f>
      </c>
      <c r="J33" s="24">
        <f>IF(AND(ISNUMBER(C33),NOT(ISNUMBER(F33))),"Falta la salida",IF(AND(ISNUMBER(F33),NOT(ISNUMBER(C33))),"Falta el ingreso",IF(AND(ISNUMBER(G33),G33&gt;0,G33&lt;45/1440),"Refrigerio menor a 45 min","")))</f>
      </c>
      <c r="K33" s="25"/>
      <c r="L33" s="25"/>
    </row>
    <row r="34" ht="20" customHeight="1" spans="1:12" x14ac:dyDescent="0.25">
      <c r="A34" s="20">
        <f>IF($N$4+25&lt;$N$5,$N$4+25,"")</f>
      </c>
      <c r="B34" s="21">
        <f>IF(A34="","",INDEX(Listas!$A$2:$A$8,WEEKDAY(A34))&amp;IF(COUNTIF(Feriados!$A$6:$A$49,A34)&gt;0," · feriado",""))</f>
      </c>
      <c r="C34" s="22"/>
      <c r="D34" s="22"/>
      <c r="E34" s="22"/>
      <c r="F34" s="22"/>
      <c r="G34" s="23">
        <f>IF(AND(ISNUMBER(D34),ISNUMBER(E34)),ROUND(MOD(E34-D34,1)*1440,0)/1440,"")</f>
      </c>
      <c r="H34" s="23">
        <f>IF(AND(ISNUMBER(C34),ISNUMBER(F34)),ROUND(MOD(F34-C34,1)*1440,0)/1440-N(G34),"")</f>
      </c>
      <c r="I34" s="23">
        <f>IF(H34="","",MAX(0,ROUND((H34-$G$6/24)*1440,0)/1440))</f>
      </c>
      <c r="J34" s="24">
        <f>IF(AND(ISNUMBER(C34),NOT(ISNUMBER(F34))),"Falta la salida",IF(AND(ISNUMBER(F34),NOT(ISNUMBER(C34))),"Falta el ingreso",IF(AND(ISNUMBER(G34),G34&gt;0,G34&lt;45/1440),"Refrigerio menor a 45 min","")))</f>
      </c>
      <c r="K34" s="25"/>
      <c r="L34" s="25"/>
    </row>
    <row r="35" ht="20" customHeight="1" spans="1:12" x14ac:dyDescent="0.25">
      <c r="A35" s="20">
        <f>IF($N$4+26&lt;$N$5,$N$4+26,"")</f>
      </c>
      <c r="B35" s="21">
        <f>IF(A35="","",INDEX(Listas!$A$2:$A$8,WEEKDAY(A35))&amp;IF(COUNTIF(Feriados!$A$6:$A$49,A35)&gt;0," · feriado",""))</f>
      </c>
      <c r="C35" s="22"/>
      <c r="D35" s="22"/>
      <c r="E35" s="22"/>
      <c r="F35" s="22"/>
      <c r="G35" s="23">
        <f>IF(AND(ISNUMBER(D35),ISNUMBER(E35)),ROUND(MOD(E35-D35,1)*1440,0)/1440,"")</f>
      </c>
      <c r="H35" s="23">
        <f>IF(AND(ISNUMBER(C35),ISNUMBER(F35)),ROUND(MOD(F35-C35,1)*1440,0)/1440-N(G35),"")</f>
      </c>
      <c r="I35" s="23">
        <f>IF(H35="","",MAX(0,ROUND((H35-$G$6/24)*1440,0)/1440))</f>
      </c>
      <c r="J35" s="24">
        <f>IF(AND(ISNUMBER(C35),NOT(ISNUMBER(F35))),"Falta la salida",IF(AND(ISNUMBER(F35),NOT(ISNUMBER(C35))),"Falta el ingreso",IF(AND(ISNUMBER(G35),G35&gt;0,G35&lt;45/1440),"Refrigerio menor a 45 min","")))</f>
      </c>
      <c r="K35" s="25"/>
      <c r="L35" s="25"/>
    </row>
    <row r="36" ht="20" customHeight="1" spans="1:12" x14ac:dyDescent="0.25">
      <c r="A36" s="20">
        <f>IF($N$4+27&lt;$N$5,$N$4+27,"")</f>
      </c>
      <c r="B36" s="21">
        <f>IF(A36="","",INDEX(Listas!$A$2:$A$8,WEEKDAY(A36))&amp;IF(COUNTIF(Feriados!$A$6:$A$49,A36)&gt;0," · feriado",""))</f>
      </c>
      <c r="C36" s="22"/>
      <c r="D36" s="22"/>
      <c r="E36" s="22"/>
      <c r="F36" s="22"/>
      <c r="G36" s="23">
        <f>IF(AND(ISNUMBER(D36),ISNUMBER(E36)),ROUND(MOD(E36-D36,1)*1440,0)/1440,"")</f>
      </c>
      <c r="H36" s="23">
        <f>IF(AND(ISNUMBER(C36),ISNUMBER(F36)),ROUND(MOD(F36-C36,1)*1440,0)/1440-N(G36),"")</f>
      </c>
      <c r="I36" s="23">
        <f>IF(H36="","",MAX(0,ROUND((H36-$G$6/24)*1440,0)/1440))</f>
      </c>
      <c r="J36" s="24">
        <f>IF(AND(ISNUMBER(C36),NOT(ISNUMBER(F36))),"Falta la salida",IF(AND(ISNUMBER(F36),NOT(ISNUMBER(C36))),"Falta el ingreso",IF(AND(ISNUMBER(G36),G36&gt;0,G36&lt;45/1440),"Refrigerio menor a 45 min","")))</f>
      </c>
      <c r="K36" s="25"/>
      <c r="L36" s="25"/>
    </row>
    <row r="37" ht="20" customHeight="1" spans="1:12" x14ac:dyDescent="0.25">
      <c r="A37" s="20">
        <f>IF($N$4+28&lt;$N$5,$N$4+28,"")</f>
      </c>
      <c r="B37" s="21">
        <f>IF(A37="","",INDEX(Listas!$A$2:$A$8,WEEKDAY(A37))&amp;IF(COUNTIF(Feriados!$A$6:$A$49,A37)&gt;0," · feriado",""))</f>
      </c>
      <c r="C37" s="22"/>
      <c r="D37" s="22"/>
      <c r="E37" s="22"/>
      <c r="F37" s="22"/>
      <c r="G37" s="23">
        <f>IF(AND(ISNUMBER(D37),ISNUMBER(E37)),ROUND(MOD(E37-D37,1)*1440,0)/1440,"")</f>
      </c>
      <c r="H37" s="23">
        <f>IF(AND(ISNUMBER(C37),ISNUMBER(F37)),ROUND(MOD(F37-C37,1)*1440,0)/1440-N(G37),"")</f>
      </c>
      <c r="I37" s="23">
        <f>IF(H37="","",MAX(0,ROUND((H37-$G$6/24)*1440,0)/1440))</f>
      </c>
      <c r="J37" s="24">
        <f>IF(AND(ISNUMBER(C37),NOT(ISNUMBER(F37))),"Falta la salida",IF(AND(ISNUMBER(F37),NOT(ISNUMBER(C37))),"Falta el ingreso",IF(AND(ISNUMBER(G37),G37&gt;0,G37&lt;45/1440),"Refrigerio menor a 45 min","")))</f>
      </c>
      <c r="K37" s="25"/>
      <c r="L37" s="25"/>
    </row>
    <row r="38" ht="20" customHeight="1" spans="1:12" x14ac:dyDescent="0.25">
      <c r="A38" s="20">
        <f>IF($N$4+29&lt;$N$5,$N$4+29,"")</f>
      </c>
      <c r="B38" s="21">
        <f>IF(A38="","",INDEX(Listas!$A$2:$A$8,WEEKDAY(A38))&amp;IF(COUNTIF(Feriados!$A$6:$A$49,A38)&gt;0," · feriado",""))</f>
      </c>
      <c r="C38" s="22"/>
      <c r="D38" s="22"/>
      <c r="E38" s="22"/>
      <c r="F38" s="22"/>
      <c r="G38" s="23">
        <f>IF(AND(ISNUMBER(D38),ISNUMBER(E38)),ROUND(MOD(E38-D38,1)*1440,0)/1440,"")</f>
      </c>
      <c r="H38" s="23">
        <f>IF(AND(ISNUMBER(C38),ISNUMBER(F38)),ROUND(MOD(F38-C38,1)*1440,0)/1440-N(G38),"")</f>
      </c>
      <c r="I38" s="23">
        <f>IF(H38="","",MAX(0,ROUND((H38-$G$6/24)*1440,0)/1440))</f>
      </c>
      <c r="J38" s="24">
        <f>IF(AND(ISNUMBER(C38),NOT(ISNUMBER(F38))),"Falta la salida",IF(AND(ISNUMBER(F38),NOT(ISNUMBER(C38))),"Falta el ingreso",IF(AND(ISNUMBER(G38),G38&gt;0,G38&lt;45/1440),"Refrigerio menor a 45 min","")))</f>
      </c>
      <c r="K38" s="25"/>
      <c r="L38" s="25"/>
    </row>
    <row r="39" ht="20" customHeight="1" spans="1:12" x14ac:dyDescent="0.25">
      <c r="A39" s="20">
        <f>IF($N$4+30&lt;$N$5,$N$4+30,"")</f>
      </c>
      <c r="B39" s="21">
        <f>IF(A39="","",INDEX(Listas!$A$2:$A$8,WEEKDAY(A39))&amp;IF(COUNTIF(Feriados!$A$6:$A$49,A39)&gt;0," · feriado",""))</f>
      </c>
      <c r="C39" s="22"/>
      <c r="D39" s="22"/>
      <c r="E39" s="22"/>
      <c r="F39" s="22"/>
      <c r="G39" s="23">
        <f>IF(AND(ISNUMBER(D39),ISNUMBER(E39)),ROUND(MOD(E39-D39,1)*1440,0)/1440,"")</f>
      </c>
      <c r="H39" s="23">
        <f>IF(AND(ISNUMBER(C39),ISNUMBER(F39)),ROUND(MOD(F39-C39,1)*1440,0)/1440-N(G39),"")</f>
      </c>
      <c r="I39" s="23">
        <f>IF(H39="","",MAX(0,ROUND((H39-$G$6/24)*1440,0)/1440))</f>
      </c>
      <c r="J39" s="24">
        <f>IF(AND(ISNUMBER(C39),NOT(ISNUMBER(F39))),"Falta la salida",IF(AND(ISNUMBER(F39),NOT(ISNUMBER(C39))),"Falta el ingreso",IF(AND(ISNUMBER(G39),G39&gt;0,G39&lt;45/1440),"Refrigerio menor a 45 min","")))</f>
      </c>
      <c r="K39" s="25"/>
      <c r="L39" s="25"/>
    </row>
    <row r="40" spans="7:9" x14ac:dyDescent="0.25">
      <c r="G40" s="16" t="s">
        <v>50</v>
      </c>
      <c r="H40" s="26">
        <f>SUM(H9:H39)</f>
      </c>
      <c r="I40" s="26">
        <f>SUM(I9:I39)</f>
      </c>
    </row>
    <row r="42" spans="1:1" x14ac:dyDescent="0.25">
      <c r="A42" s="6" t="s">
        <v>17</v>
      </c>
    </row>
    <row r="43" spans="1:1" x14ac:dyDescent="0.25">
      <c r="A43" s="7" t="s">
        <v>18</v>
      </c>
    </row>
    <row r="44" spans="1:1" x14ac:dyDescent="0.25">
      <c r="A44" s="8" t="s">
        <v>19</v>
      </c>
    </row>
    <row r="45" spans="1:1" x14ac:dyDescent="0.25">
      <c r="A45" s="7" t="s">
        <v>20</v>
      </c>
    </row>
  </sheetData>
  <mergeCells count="7">
    <mergeCell ref="A1:L1"/>
    <mergeCell ref="A2:L2"/>
    <mergeCell ref="A3:L3"/>
    <mergeCell ref="B4:E4"/>
    <mergeCell ref="G4:I4"/>
    <mergeCell ref="B5:E5"/>
    <mergeCell ref="G5:I5"/>
  </mergeCells>
  <conditionalFormatting sqref="A9:B39">
    <cfRule type="expression" dxfId="1" priority="1">
      <formula>RIGHT($B9,7)="feriado"</formula>
    </cfRule>
  </conditionalFormatting>
  <hyperlinks>
    <hyperlink ref="A44" r:id="rId1"/>
  </hyperlinks>
  <pageSetup paperSize="9" orientation="landscape" fitToWidth="1" fitToHeight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1" customWidth="1"/>
    <col min="4" max="5" width="13" customWidth="1"/>
    <col min="6" max="6" width="11" customWidth="1"/>
    <col min="7" max="8" width="12" customWidth="1"/>
    <col min="9" max="9" width="13" customWidth="1"/>
    <col min="10" max="10" width="24" customWidth="1"/>
    <col min="11" max="11" width="30" customWidth="1"/>
    <col min="12" max="12" width="22" customWidth="1"/>
    <col min="13" max="13" width="4" customWidth="1"/>
    <col min="14" max="14" width="12" hidden="1" customWidth="1"/>
  </cols>
  <sheetData>
    <row r="1" ht="3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 spans="1:12" x14ac:dyDescent="0.25">
      <c r="A2" s="2" t="s">
        <v>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2" customHeight="1" spans="1:12" x14ac:dyDescent="0.25">
      <c r="A3" s="9" t="s">
        <v>31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x14ac:dyDescent="0.25">
      <c r="A4" s="10" t="s">
        <v>32</v>
      </c>
      <c r="B4" s="14">
        <f>IF(Datos!$B$5="","",Datos!$B$5)</f>
      </c>
      <c r="C4" s="14"/>
      <c r="D4" s="14"/>
      <c r="E4" s="14"/>
      <c r="F4" s="10" t="s">
        <v>33</v>
      </c>
      <c r="G4" s="14">
        <f>IF(Datos!$B$6="","",Datos!$B$6)</f>
      </c>
      <c r="H4" s="14"/>
      <c r="I4" s="14"/>
      <c r="N4" s="15">
        <f>INDEX(Listas!$C$2:$C$62,($D$6-2026)*12+3)</f>
      </c>
    </row>
    <row r="5" spans="1:14" x14ac:dyDescent="0.25">
      <c r="A5" s="10" t="s">
        <v>34</v>
      </c>
      <c r="B5" s="14">
        <f>IF(Datos!$B$7="","",Datos!$B$7)</f>
      </c>
      <c r="C5" s="14"/>
      <c r="D5" s="14"/>
      <c r="E5" s="14"/>
      <c r="F5" s="10" t="s">
        <v>35</v>
      </c>
      <c r="G5" s="14">
        <f>IF(Datos!$B$8="","",Datos!$B$8)</f>
      </c>
      <c r="H5" s="14"/>
      <c r="I5" s="14"/>
      <c r="N5" s="15">
        <f>INDEX(Listas!$C$2:$C$62,($D$6-2026)*12+4)</f>
      </c>
    </row>
    <row r="6" spans="1:7" x14ac:dyDescent="0.25">
      <c r="A6" s="10" t="s">
        <v>36</v>
      </c>
      <c r="B6" s="16" t="s">
        <v>54</v>
      </c>
      <c r="C6" s="10" t="s">
        <v>38</v>
      </c>
      <c r="D6" s="17">
        <f>Datos!$B$10</f>
      </c>
      <c r="F6" s="10" t="s">
        <v>39</v>
      </c>
      <c r="G6" s="18">
        <f>Datos!$B$9</f>
      </c>
    </row>
    <row r="8" ht="42" customHeight="1" spans="1:12" x14ac:dyDescent="0.25">
      <c r="A8" s="19" t="s">
        <v>40</v>
      </c>
      <c r="B8" s="19" t="s">
        <v>41</v>
      </c>
      <c r="C8" s="19" t="s">
        <v>42</v>
      </c>
      <c r="D8" s="19" t="s">
        <v>43</v>
      </c>
      <c r="E8" s="19" t="s">
        <v>44</v>
      </c>
      <c r="F8" s="19" t="s">
        <v>45</v>
      </c>
      <c r="G8" s="19" t="s">
        <v>9</v>
      </c>
      <c r="H8" s="19" t="s">
        <v>46</v>
      </c>
      <c r="I8" s="19" t="s">
        <v>11</v>
      </c>
      <c r="J8" s="19" t="s">
        <v>47</v>
      </c>
      <c r="K8" s="19" t="s">
        <v>48</v>
      </c>
      <c r="L8" s="19" t="s">
        <v>49</v>
      </c>
    </row>
    <row r="9" ht="20" customHeight="1" spans="1:12" x14ac:dyDescent="0.25">
      <c r="A9" s="20">
        <f>IF($N$4+0&lt;$N$5,$N$4+0,"")</f>
      </c>
      <c r="B9" s="21">
        <f>IF(A9="","",INDEX(Listas!$A$2:$A$8,WEEKDAY(A9))&amp;IF(COUNTIF(Feriados!$A$6:$A$49,A9)&gt;0," · feriado",""))</f>
      </c>
      <c r="C9" s="22"/>
      <c r="D9" s="22"/>
      <c r="E9" s="22"/>
      <c r="F9" s="22"/>
      <c r="G9" s="23">
        <f>IF(AND(ISNUMBER(D9),ISNUMBER(E9)),ROUND(MOD(E9-D9,1)*1440,0)/1440,"")</f>
      </c>
      <c r="H9" s="23">
        <f>IF(AND(ISNUMBER(C9),ISNUMBER(F9)),ROUND(MOD(F9-C9,1)*1440,0)/1440-N(G9),"")</f>
      </c>
      <c r="I9" s="23">
        <f>IF(H9="","",MAX(0,ROUND((H9-$G$6/24)*1440,0)/1440))</f>
      </c>
      <c r="J9" s="24">
        <f>IF(AND(ISNUMBER(C9),NOT(ISNUMBER(F9))),"Falta la salida",IF(AND(ISNUMBER(F9),NOT(ISNUMBER(C9))),"Falta el ingreso",IF(AND(ISNUMBER(G9),G9&gt;0,G9&lt;45/1440),"Refrigerio menor a 45 min","")))</f>
      </c>
      <c r="K9" s="25"/>
      <c r="L9" s="25"/>
    </row>
    <row r="10" ht="20" customHeight="1" spans="1:12" x14ac:dyDescent="0.25">
      <c r="A10" s="20">
        <f>IF($N$4+1&lt;$N$5,$N$4+1,"")</f>
      </c>
      <c r="B10" s="21">
        <f>IF(A10="","",INDEX(Listas!$A$2:$A$8,WEEKDAY(A10))&amp;IF(COUNTIF(Feriados!$A$6:$A$49,A10)&gt;0," · feriado",""))</f>
      </c>
      <c r="C10" s="22"/>
      <c r="D10" s="22"/>
      <c r="E10" s="22"/>
      <c r="F10" s="22"/>
      <c r="G10" s="23">
        <f>IF(AND(ISNUMBER(D10),ISNUMBER(E10)),ROUND(MOD(E10-D10,1)*1440,0)/1440,"")</f>
      </c>
      <c r="H10" s="23">
        <f>IF(AND(ISNUMBER(C10),ISNUMBER(F10)),ROUND(MOD(F10-C10,1)*1440,0)/1440-N(G10),"")</f>
      </c>
      <c r="I10" s="23">
        <f>IF(H10="","",MAX(0,ROUND((H10-$G$6/24)*1440,0)/1440))</f>
      </c>
      <c r="J10" s="24">
        <f>IF(AND(ISNUMBER(C10),NOT(ISNUMBER(F10))),"Falta la salida",IF(AND(ISNUMBER(F10),NOT(ISNUMBER(C10))),"Falta el ingreso",IF(AND(ISNUMBER(G10),G10&gt;0,G10&lt;45/1440),"Refrigerio menor a 45 min","")))</f>
      </c>
      <c r="K10" s="25"/>
      <c r="L10" s="25"/>
    </row>
    <row r="11" ht="20" customHeight="1" spans="1:12" x14ac:dyDescent="0.25">
      <c r="A11" s="20">
        <f>IF($N$4+2&lt;$N$5,$N$4+2,"")</f>
      </c>
      <c r="B11" s="21">
        <f>IF(A11="","",INDEX(Listas!$A$2:$A$8,WEEKDAY(A11))&amp;IF(COUNTIF(Feriados!$A$6:$A$49,A11)&gt;0," · feriado",""))</f>
      </c>
      <c r="C11" s="22"/>
      <c r="D11" s="22"/>
      <c r="E11" s="22"/>
      <c r="F11" s="22"/>
      <c r="G11" s="23">
        <f>IF(AND(ISNUMBER(D11),ISNUMBER(E11)),ROUND(MOD(E11-D11,1)*1440,0)/1440,"")</f>
      </c>
      <c r="H11" s="23">
        <f>IF(AND(ISNUMBER(C11),ISNUMBER(F11)),ROUND(MOD(F11-C11,1)*1440,0)/1440-N(G11),"")</f>
      </c>
      <c r="I11" s="23">
        <f>IF(H11="","",MAX(0,ROUND((H11-$G$6/24)*1440,0)/1440))</f>
      </c>
      <c r="J11" s="24">
        <f>IF(AND(ISNUMBER(C11),NOT(ISNUMBER(F11))),"Falta la salida",IF(AND(ISNUMBER(F11),NOT(ISNUMBER(C11))),"Falta el ingreso",IF(AND(ISNUMBER(G11),G11&gt;0,G11&lt;45/1440),"Refrigerio menor a 45 min","")))</f>
      </c>
      <c r="K11" s="25"/>
      <c r="L11" s="25"/>
    </row>
    <row r="12" ht="20" customHeight="1" spans="1:12" x14ac:dyDescent="0.25">
      <c r="A12" s="20">
        <f>IF($N$4+3&lt;$N$5,$N$4+3,"")</f>
      </c>
      <c r="B12" s="21">
        <f>IF(A12="","",INDEX(Listas!$A$2:$A$8,WEEKDAY(A12))&amp;IF(COUNTIF(Feriados!$A$6:$A$49,A12)&gt;0," · feriado",""))</f>
      </c>
      <c r="C12" s="22"/>
      <c r="D12" s="22"/>
      <c r="E12" s="22"/>
      <c r="F12" s="22"/>
      <c r="G12" s="23">
        <f>IF(AND(ISNUMBER(D12),ISNUMBER(E12)),ROUND(MOD(E12-D12,1)*1440,0)/1440,"")</f>
      </c>
      <c r="H12" s="23">
        <f>IF(AND(ISNUMBER(C12),ISNUMBER(F12)),ROUND(MOD(F12-C12,1)*1440,0)/1440-N(G12),"")</f>
      </c>
      <c r="I12" s="23">
        <f>IF(H12="","",MAX(0,ROUND((H12-$G$6/24)*1440,0)/1440))</f>
      </c>
      <c r="J12" s="24">
        <f>IF(AND(ISNUMBER(C12),NOT(ISNUMBER(F12))),"Falta la salida",IF(AND(ISNUMBER(F12),NOT(ISNUMBER(C12))),"Falta el ingreso",IF(AND(ISNUMBER(G12),G12&gt;0,G12&lt;45/1440),"Refrigerio menor a 45 min","")))</f>
      </c>
      <c r="K12" s="25"/>
      <c r="L12" s="25"/>
    </row>
    <row r="13" ht="20" customHeight="1" spans="1:12" x14ac:dyDescent="0.25">
      <c r="A13" s="20">
        <f>IF($N$4+4&lt;$N$5,$N$4+4,"")</f>
      </c>
      <c r="B13" s="21">
        <f>IF(A13="","",INDEX(Listas!$A$2:$A$8,WEEKDAY(A13))&amp;IF(COUNTIF(Feriados!$A$6:$A$49,A13)&gt;0," · feriado",""))</f>
      </c>
      <c r="C13" s="22"/>
      <c r="D13" s="22"/>
      <c r="E13" s="22"/>
      <c r="F13" s="22"/>
      <c r="G13" s="23">
        <f>IF(AND(ISNUMBER(D13),ISNUMBER(E13)),ROUND(MOD(E13-D13,1)*1440,0)/1440,"")</f>
      </c>
      <c r="H13" s="23">
        <f>IF(AND(ISNUMBER(C13),ISNUMBER(F13)),ROUND(MOD(F13-C13,1)*1440,0)/1440-N(G13),"")</f>
      </c>
      <c r="I13" s="23">
        <f>IF(H13="","",MAX(0,ROUND((H13-$G$6/24)*1440,0)/1440))</f>
      </c>
      <c r="J13" s="24">
        <f>IF(AND(ISNUMBER(C13),NOT(ISNUMBER(F13))),"Falta la salida",IF(AND(ISNUMBER(F13),NOT(ISNUMBER(C13))),"Falta el ingreso",IF(AND(ISNUMBER(G13),G13&gt;0,G13&lt;45/1440),"Refrigerio menor a 45 min","")))</f>
      </c>
      <c r="K13" s="25"/>
      <c r="L13" s="25"/>
    </row>
    <row r="14" ht="20" customHeight="1" spans="1:12" x14ac:dyDescent="0.25">
      <c r="A14" s="20">
        <f>IF($N$4+5&lt;$N$5,$N$4+5,"")</f>
      </c>
      <c r="B14" s="21">
        <f>IF(A14="","",INDEX(Listas!$A$2:$A$8,WEEKDAY(A14))&amp;IF(COUNTIF(Feriados!$A$6:$A$49,A14)&gt;0," · feriado",""))</f>
      </c>
      <c r="C14" s="22"/>
      <c r="D14" s="22"/>
      <c r="E14" s="22"/>
      <c r="F14" s="22"/>
      <c r="G14" s="23">
        <f>IF(AND(ISNUMBER(D14),ISNUMBER(E14)),ROUND(MOD(E14-D14,1)*1440,0)/1440,"")</f>
      </c>
      <c r="H14" s="23">
        <f>IF(AND(ISNUMBER(C14),ISNUMBER(F14)),ROUND(MOD(F14-C14,1)*1440,0)/1440-N(G14),"")</f>
      </c>
      <c r="I14" s="23">
        <f>IF(H14="","",MAX(0,ROUND((H14-$G$6/24)*1440,0)/1440))</f>
      </c>
      <c r="J14" s="24">
        <f>IF(AND(ISNUMBER(C14),NOT(ISNUMBER(F14))),"Falta la salida",IF(AND(ISNUMBER(F14),NOT(ISNUMBER(C14))),"Falta el ingreso",IF(AND(ISNUMBER(G14),G14&gt;0,G14&lt;45/1440),"Refrigerio menor a 45 min","")))</f>
      </c>
      <c r="K14" s="25"/>
      <c r="L14" s="25"/>
    </row>
    <row r="15" ht="20" customHeight="1" spans="1:12" x14ac:dyDescent="0.25">
      <c r="A15" s="20">
        <f>IF($N$4+6&lt;$N$5,$N$4+6,"")</f>
      </c>
      <c r="B15" s="21">
        <f>IF(A15="","",INDEX(Listas!$A$2:$A$8,WEEKDAY(A15))&amp;IF(COUNTIF(Feriados!$A$6:$A$49,A15)&gt;0," · feriado",""))</f>
      </c>
      <c r="C15" s="22"/>
      <c r="D15" s="22"/>
      <c r="E15" s="22"/>
      <c r="F15" s="22"/>
      <c r="G15" s="23">
        <f>IF(AND(ISNUMBER(D15),ISNUMBER(E15)),ROUND(MOD(E15-D15,1)*1440,0)/1440,"")</f>
      </c>
      <c r="H15" s="23">
        <f>IF(AND(ISNUMBER(C15),ISNUMBER(F15)),ROUND(MOD(F15-C15,1)*1440,0)/1440-N(G15),"")</f>
      </c>
      <c r="I15" s="23">
        <f>IF(H15="","",MAX(0,ROUND((H15-$G$6/24)*1440,0)/1440))</f>
      </c>
      <c r="J15" s="24">
        <f>IF(AND(ISNUMBER(C15),NOT(ISNUMBER(F15))),"Falta la salida",IF(AND(ISNUMBER(F15),NOT(ISNUMBER(C15))),"Falta el ingreso",IF(AND(ISNUMBER(G15),G15&gt;0,G15&lt;45/1440),"Refrigerio menor a 45 min","")))</f>
      </c>
      <c r="K15" s="25"/>
      <c r="L15" s="25"/>
    </row>
    <row r="16" ht="20" customHeight="1" spans="1:12" x14ac:dyDescent="0.25">
      <c r="A16" s="20">
        <f>IF($N$4+7&lt;$N$5,$N$4+7,"")</f>
      </c>
      <c r="B16" s="21">
        <f>IF(A16="","",INDEX(Listas!$A$2:$A$8,WEEKDAY(A16))&amp;IF(COUNTIF(Feriados!$A$6:$A$49,A16)&gt;0," · feriado",""))</f>
      </c>
      <c r="C16" s="22"/>
      <c r="D16" s="22"/>
      <c r="E16" s="22"/>
      <c r="F16" s="22"/>
      <c r="G16" s="23">
        <f>IF(AND(ISNUMBER(D16),ISNUMBER(E16)),ROUND(MOD(E16-D16,1)*1440,0)/1440,"")</f>
      </c>
      <c r="H16" s="23">
        <f>IF(AND(ISNUMBER(C16),ISNUMBER(F16)),ROUND(MOD(F16-C16,1)*1440,0)/1440-N(G16),"")</f>
      </c>
      <c r="I16" s="23">
        <f>IF(H16="","",MAX(0,ROUND((H16-$G$6/24)*1440,0)/1440))</f>
      </c>
      <c r="J16" s="24">
        <f>IF(AND(ISNUMBER(C16),NOT(ISNUMBER(F16))),"Falta la salida",IF(AND(ISNUMBER(F16),NOT(ISNUMBER(C16))),"Falta el ingreso",IF(AND(ISNUMBER(G16),G16&gt;0,G16&lt;45/1440),"Refrigerio menor a 45 min","")))</f>
      </c>
      <c r="K16" s="25"/>
      <c r="L16" s="25"/>
    </row>
    <row r="17" ht="20" customHeight="1" spans="1:12" x14ac:dyDescent="0.25">
      <c r="A17" s="20">
        <f>IF($N$4+8&lt;$N$5,$N$4+8,"")</f>
      </c>
      <c r="B17" s="21">
        <f>IF(A17="","",INDEX(Listas!$A$2:$A$8,WEEKDAY(A17))&amp;IF(COUNTIF(Feriados!$A$6:$A$49,A17)&gt;0," · feriado",""))</f>
      </c>
      <c r="C17" s="22"/>
      <c r="D17" s="22"/>
      <c r="E17" s="22"/>
      <c r="F17" s="22"/>
      <c r="G17" s="23">
        <f>IF(AND(ISNUMBER(D17),ISNUMBER(E17)),ROUND(MOD(E17-D17,1)*1440,0)/1440,"")</f>
      </c>
      <c r="H17" s="23">
        <f>IF(AND(ISNUMBER(C17),ISNUMBER(F17)),ROUND(MOD(F17-C17,1)*1440,0)/1440-N(G17),"")</f>
      </c>
      <c r="I17" s="23">
        <f>IF(H17="","",MAX(0,ROUND((H17-$G$6/24)*1440,0)/1440))</f>
      </c>
      <c r="J17" s="24">
        <f>IF(AND(ISNUMBER(C17),NOT(ISNUMBER(F17))),"Falta la salida",IF(AND(ISNUMBER(F17),NOT(ISNUMBER(C17))),"Falta el ingreso",IF(AND(ISNUMBER(G17),G17&gt;0,G17&lt;45/1440),"Refrigerio menor a 45 min","")))</f>
      </c>
      <c r="K17" s="25"/>
      <c r="L17" s="25"/>
    </row>
    <row r="18" ht="20" customHeight="1" spans="1:12" x14ac:dyDescent="0.25">
      <c r="A18" s="20">
        <f>IF($N$4+9&lt;$N$5,$N$4+9,"")</f>
      </c>
      <c r="B18" s="21">
        <f>IF(A18="","",INDEX(Listas!$A$2:$A$8,WEEKDAY(A18))&amp;IF(COUNTIF(Feriados!$A$6:$A$49,A18)&gt;0," · feriado",""))</f>
      </c>
      <c r="C18" s="22"/>
      <c r="D18" s="22"/>
      <c r="E18" s="22"/>
      <c r="F18" s="22"/>
      <c r="G18" s="23">
        <f>IF(AND(ISNUMBER(D18),ISNUMBER(E18)),ROUND(MOD(E18-D18,1)*1440,0)/1440,"")</f>
      </c>
      <c r="H18" s="23">
        <f>IF(AND(ISNUMBER(C18),ISNUMBER(F18)),ROUND(MOD(F18-C18,1)*1440,0)/1440-N(G18),"")</f>
      </c>
      <c r="I18" s="23">
        <f>IF(H18="","",MAX(0,ROUND((H18-$G$6/24)*1440,0)/1440))</f>
      </c>
      <c r="J18" s="24">
        <f>IF(AND(ISNUMBER(C18),NOT(ISNUMBER(F18))),"Falta la salida",IF(AND(ISNUMBER(F18),NOT(ISNUMBER(C18))),"Falta el ingreso",IF(AND(ISNUMBER(G18),G18&gt;0,G18&lt;45/1440),"Refrigerio menor a 45 min","")))</f>
      </c>
      <c r="K18" s="25"/>
      <c r="L18" s="25"/>
    </row>
    <row r="19" ht="20" customHeight="1" spans="1:12" x14ac:dyDescent="0.25">
      <c r="A19" s="20">
        <f>IF($N$4+10&lt;$N$5,$N$4+10,"")</f>
      </c>
      <c r="B19" s="21">
        <f>IF(A19="","",INDEX(Listas!$A$2:$A$8,WEEKDAY(A19))&amp;IF(COUNTIF(Feriados!$A$6:$A$49,A19)&gt;0," · feriado",""))</f>
      </c>
      <c r="C19" s="22"/>
      <c r="D19" s="22"/>
      <c r="E19" s="22"/>
      <c r="F19" s="22"/>
      <c r="G19" s="23">
        <f>IF(AND(ISNUMBER(D19),ISNUMBER(E19)),ROUND(MOD(E19-D19,1)*1440,0)/1440,"")</f>
      </c>
      <c r="H19" s="23">
        <f>IF(AND(ISNUMBER(C19),ISNUMBER(F19)),ROUND(MOD(F19-C19,1)*1440,0)/1440-N(G19),"")</f>
      </c>
      <c r="I19" s="23">
        <f>IF(H19="","",MAX(0,ROUND((H19-$G$6/24)*1440,0)/1440))</f>
      </c>
      <c r="J19" s="24">
        <f>IF(AND(ISNUMBER(C19),NOT(ISNUMBER(F19))),"Falta la salida",IF(AND(ISNUMBER(F19),NOT(ISNUMBER(C19))),"Falta el ingreso",IF(AND(ISNUMBER(G19),G19&gt;0,G19&lt;45/1440),"Refrigerio menor a 45 min","")))</f>
      </c>
      <c r="K19" s="25"/>
      <c r="L19" s="25"/>
    </row>
    <row r="20" ht="20" customHeight="1" spans="1:12" x14ac:dyDescent="0.25">
      <c r="A20" s="20">
        <f>IF($N$4+11&lt;$N$5,$N$4+11,"")</f>
      </c>
      <c r="B20" s="21">
        <f>IF(A20="","",INDEX(Listas!$A$2:$A$8,WEEKDAY(A20))&amp;IF(COUNTIF(Feriados!$A$6:$A$49,A20)&gt;0," · feriado",""))</f>
      </c>
      <c r="C20" s="22"/>
      <c r="D20" s="22"/>
      <c r="E20" s="22"/>
      <c r="F20" s="22"/>
      <c r="G20" s="23">
        <f>IF(AND(ISNUMBER(D20),ISNUMBER(E20)),ROUND(MOD(E20-D20,1)*1440,0)/1440,"")</f>
      </c>
      <c r="H20" s="23">
        <f>IF(AND(ISNUMBER(C20),ISNUMBER(F20)),ROUND(MOD(F20-C20,1)*1440,0)/1440-N(G20),"")</f>
      </c>
      <c r="I20" s="23">
        <f>IF(H20="","",MAX(0,ROUND((H20-$G$6/24)*1440,0)/1440))</f>
      </c>
      <c r="J20" s="24">
        <f>IF(AND(ISNUMBER(C20),NOT(ISNUMBER(F20))),"Falta la salida",IF(AND(ISNUMBER(F20),NOT(ISNUMBER(C20))),"Falta el ingreso",IF(AND(ISNUMBER(G20),G20&gt;0,G20&lt;45/1440),"Refrigerio menor a 45 min","")))</f>
      </c>
      <c r="K20" s="25"/>
      <c r="L20" s="25"/>
    </row>
    <row r="21" ht="20" customHeight="1" spans="1:12" x14ac:dyDescent="0.25">
      <c r="A21" s="20">
        <f>IF($N$4+12&lt;$N$5,$N$4+12,"")</f>
      </c>
      <c r="B21" s="21">
        <f>IF(A21="","",INDEX(Listas!$A$2:$A$8,WEEKDAY(A21))&amp;IF(COUNTIF(Feriados!$A$6:$A$49,A21)&gt;0," · feriado",""))</f>
      </c>
      <c r="C21" s="22"/>
      <c r="D21" s="22"/>
      <c r="E21" s="22"/>
      <c r="F21" s="22"/>
      <c r="G21" s="23">
        <f>IF(AND(ISNUMBER(D21),ISNUMBER(E21)),ROUND(MOD(E21-D21,1)*1440,0)/1440,"")</f>
      </c>
      <c r="H21" s="23">
        <f>IF(AND(ISNUMBER(C21),ISNUMBER(F21)),ROUND(MOD(F21-C21,1)*1440,0)/1440-N(G21),"")</f>
      </c>
      <c r="I21" s="23">
        <f>IF(H21="","",MAX(0,ROUND((H21-$G$6/24)*1440,0)/1440))</f>
      </c>
      <c r="J21" s="24">
        <f>IF(AND(ISNUMBER(C21),NOT(ISNUMBER(F21))),"Falta la salida",IF(AND(ISNUMBER(F21),NOT(ISNUMBER(C21))),"Falta el ingreso",IF(AND(ISNUMBER(G21),G21&gt;0,G21&lt;45/1440),"Refrigerio menor a 45 min","")))</f>
      </c>
      <c r="K21" s="25"/>
      <c r="L21" s="25"/>
    </row>
    <row r="22" ht="20" customHeight="1" spans="1:12" x14ac:dyDescent="0.25">
      <c r="A22" s="20">
        <f>IF($N$4+13&lt;$N$5,$N$4+13,"")</f>
      </c>
      <c r="B22" s="21">
        <f>IF(A22="","",INDEX(Listas!$A$2:$A$8,WEEKDAY(A22))&amp;IF(COUNTIF(Feriados!$A$6:$A$49,A22)&gt;0," · feriado",""))</f>
      </c>
      <c r="C22" s="22"/>
      <c r="D22" s="22"/>
      <c r="E22" s="22"/>
      <c r="F22" s="22"/>
      <c r="G22" s="23">
        <f>IF(AND(ISNUMBER(D22),ISNUMBER(E22)),ROUND(MOD(E22-D22,1)*1440,0)/1440,"")</f>
      </c>
      <c r="H22" s="23">
        <f>IF(AND(ISNUMBER(C22),ISNUMBER(F22)),ROUND(MOD(F22-C22,1)*1440,0)/1440-N(G22),"")</f>
      </c>
      <c r="I22" s="23">
        <f>IF(H22="","",MAX(0,ROUND((H22-$G$6/24)*1440,0)/1440))</f>
      </c>
      <c r="J22" s="24">
        <f>IF(AND(ISNUMBER(C22),NOT(ISNUMBER(F22))),"Falta la salida",IF(AND(ISNUMBER(F22),NOT(ISNUMBER(C22))),"Falta el ingreso",IF(AND(ISNUMBER(G22),G22&gt;0,G22&lt;45/1440),"Refrigerio menor a 45 min","")))</f>
      </c>
      <c r="K22" s="25"/>
      <c r="L22" s="25"/>
    </row>
    <row r="23" ht="20" customHeight="1" spans="1:12" x14ac:dyDescent="0.25">
      <c r="A23" s="20">
        <f>IF($N$4+14&lt;$N$5,$N$4+14,"")</f>
      </c>
      <c r="B23" s="21">
        <f>IF(A23="","",INDEX(Listas!$A$2:$A$8,WEEKDAY(A23))&amp;IF(COUNTIF(Feriados!$A$6:$A$49,A23)&gt;0," · feriado",""))</f>
      </c>
      <c r="C23" s="22"/>
      <c r="D23" s="22"/>
      <c r="E23" s="22"/>
      <c r="F23" s="22"/>
      <c r="G23" s="23">
        <f>IF(AND(ISNUMBER(D23),ISNUMBER(E23)),ROUND(MOD(E23-D23,1)*1440,0)/1440,"")</f>
      </c>
      <c r="H23" s="23">
        <f>IF(AND(ISNUMBER(C23),ISNUMBER(F23)),ROUND(MOD(F23-C23,1)*1440,0)/1440-N(G23),"")</f>
      </c>
      <c r="I23" s="23">
        <f>IF(H23="","",MAX(0,ROUND((H23-$G$6/24)*1440,0)/1440))</f>
      </c>
      <c r="J23" s="24">
        <f>IF(AND(ISNUMBER(C23),NOT(ISNUMBER(F23))),"Falta la salida",IF(AND(ISNUMBER(F23),NOT(ISNUMBER(C23))),"Falta el ingreso",IF(AND(ISNUMBER(G23),G23&gt;0,G23&lt;45/1440),"Refrigerio menor a 45 min","")))</f>
      </c>
      <c r="K23" s="25"/>
      <c r="L23" s="25"/>
    </row>
    <row r="24" ht="20" customHeight="1" spans="1:12" x14ac:dyDescent="0.25">
      <c r="A24" s="20">
        <f>IF($N$4+15&lt;$N$5,$N$4+15,"")</f>
      </c>
      <c r="B24" s="21">
        <f>IF(A24="","",INDEX(Listas!$A$2:$A$8,WEEKDAY(A24))&amp;IF(COUNTIF(Feriados!$A$6:$A$49,A24)&gt;0," · feriado",""))</f>
      </c>
      <c r="C24" s="22"/>
      <c r="D24" s="22"/>
      <c r="E24" s="22"/>
      <c r="F24" s="22"/>
      <c r="G24" s="23">
        <f>IF(AND(ISNUMBER(D24),ISNUMBER(E24)),ROUND(MOD(E24-D24,1)*1440,0)/1440,"")</f>
      </c>
      <c r="H24" s="23">
        <f>IF(AND(ISNUMBER(C24),ISNUMBER(F24)),ROUND(MOD(F24-C24,1)*1440,0)/1440-N(G24),"")</f>
      </c>
      <c r="I24" s="23">
        <f>IF(H24="","",MAX(0,ROUND((H24-$G$6/24)*1440,0)/1440))</f>
      </c>
      <c r="J24" s="24">
        <f>IF(AND(ISNUMBER(C24),NOT(ISNUMBER(F24))),"Falta la salida",IF(AND(ISNUMBER(F24),NOT(ISNUMBER(C24))),"Falta el ingreso",IF(AND(ISNUMBER(G24),G24&gt;0,G24&lt;45/1440),"Refrigerio menor a 45 min","")))</f>
      </c>
      <c r="K24" s="25"/>
      <c r="L24" s="25"/>
    </row>
    <row r="25" ht="20" customHeight="1" spans="1:12" x14ac:dyDescent="0.25">
      <c r="A25" s="20">
        <f>IF($N$4+16&lt;$N$5,$N$4+16,"")</f>
      </c>
      <c r="B25" s="21">
        <f>IF(A25="","",INDEX(Listas!$A$2:$A$8,WEEKDAY(A25))&amp;IF(COUNTIF(Feriados!$A$6:$A$49,A25)&gt;0," · feriado",""))</f>
      </c>
      <c r="C25" s="22"/>
      <c r="D25" s="22"/>
      <c r="E25" s="22"/>
      <c r="F25" s="22"/>
      <c r="G25" s="23">
        <f>IF(AND(ISNUMBER(D25),ISNUMBER(E25)),ROUND(MOD(E25-D25,1)*1440,0)/1440,"")</f>
      </c>
      <c r="H25" s="23">
        <f>IF(AND(ISNUMBER(C25),ISNUMBER(F25)),ROUND(MOD(F25-C25,1)*1440,0)/1440-N(G25),"")</f>
      </c>
      <c r="I25" s="23">
        <f>IF(H25="","",MAX(0,ROUND((H25-$G$6/24)*1440,0)/1440))</f>
      </c>
      <c r="J25" s="24">
        <f>IF(AND(ISNUMBER(C25),NOT(ISNUMBER(F25))),"Falta la salida",IF(AND(ISNUMBER(F25),NOT(ISNUMBER(C25))),"Falta el ingreso",IF(AND(ISNUMBER(G25),G25&gt;0,G25&lt;45/1440),"Refrigerio menor a 45 min","")))</f>
      </c>
      <c r="K25" s="25"/>
      <c r="L25" s="25"/>
    </row>
    <row r="26" ht="20" customHeight="1" spans="1:12" x14ac:dyDescent="0.25">
      <c r="A26" s="20">
        <f>IF($N$4+17&lt;$N$5,$N$4+17,"")</f>
      </c>
      <c r="B26" s="21">
        <f>IF(A26="","",INDEX(Listas!$A$2:$A$8,WEEKDAY(A26))&amp;IF(COUNTIF(Feriados!$A$6:$A$49,A26)&gt;0," · feriado",""))</f>
      </c>
      <c r="C26" s="22"/>
      <c r="D26" s="22"/>
      <c r="E26" s="22"/>
      <c r="F26" s="22"/>
      <c r="G26" s="23">
        <f>IF(AND(ISNUMBER(D26),ISNUMBER(E26)),ROUND(MOD(E26-D26,1)*1440,0)/1440,"")</f>
      </c>
      <c r="H26" s="23">
        <f>IF(AND(ISNUMBER(C26),ISNUMBER(F26)),ROUND(MOD(F26-C26,1)*1440,0)/1440-N(G26),"")</f>
      </c>
      <c r="I26" s="23">
        <f>IF(H26="","",MAX(0,ROUND((H26-$G$6/24)*1440,0)/1440))</f>
      </c>
      <c r="J26" s="24">
        <f>IF(AND(ISNUMBER(C26),NOT(ISNUMBER(F26))),"Falta la salida",IF(AND(ISNUMBER(F26),NOT(ISNUMBER(C26))),"Falta el ingreso",IF(AND(ISNUMBER(G26),G26&gt;0,G26&lt;45/1440),"Refrigerio menor a 45 min","")))</f>
      </c>
      <c r="K26" s="25"/>
      <c r="L26" s="25"/>
    </row>
    <row r="27" ht="20" customHeight="1" spans="1:12" x14ac:dyDescent="0.25">
      <c r="A27" s="20">
        <f>IF($N$4+18&lt;$N$5,$N$4+18,"")</f>
      </c>
      <c r="B27" s="21">
        <f>IF(A27="","",INDEX(Listas!$A$2:$A$8,WEEKDAY(A27))&amp;IF(COUNTIF(Feriados!$A$6:$A$49,A27)&gt;0," · feriado",""))</f>
      </c>
      <c r="C27" s="22"/>
      <c r="D27" s="22"/>
      <c r="E27" s="22"/>
      <c r="F27" s="22"/>
      <c r="G27" s="23">
        <f>IF(AND(ISNUMBER(D27),ISNUMBER(E27)),ROUND(MOD(E27-D27,1)*1440,0)/1440,"")</f>
      </c>
      <c r="H27" s="23">
        <f>IF(AND(ISNUMBER(C27),ISNUMBER(F27)),ROUND(MOD(F27-C27,1)*1440,0)/1440-N(G27),"")</f>
      </c>
      <c r="I27" s="23">
        <f>IF(H27="","",MAX(0,ROUND((H27-$G$6/24)*1440,0)/1440))</f>
      </c>
      <c r="J27" s="24">
        <f>IF(AND(ISNUMBER(C27),NOT(ISNUMBER(F27))),"Falta la salida",IF(AND(ISNUMBER(F27),NOT(ISNUMBER(C27))),"Falta el ingreso",IF(AND(ISNUMBER(G27),G27&gt;0,G27&lt;45/1440),"Refrigerio menor a 45 min","")))</f>
      </c>
      <c r="K27" s="25"/>
      <c r="L27" s="25"/>
    </row>
    <row r="28" ht="20" customHeight="1" spans="1:12" x14ac:dyDescent="0.25">
      <c r="A28" s="20">
        <f>IF($N$4+19&lt;$N$5,$N$4+19,"")</f>
      </c>
      <c r="B28" s="21">
        <f>IF(A28="","",INDEX(Listas!$A$2:$A$8,WEEKDAY(A28))&amp;IF(COUNTIF(Feriados!$A$6:$A$49,A28)&gt;0," · feriado",""))</f>
      </c>
      <c r="C28" s="22"/>
      <c r="D28" s="22"/>
      <c r="E28" s="22"/>
      <c r="F28" s="22"/>
      <c r="G28" s="23">
        <f>IF(AND(ISNUMBER(D28),ISNUMBER(E28)),ROUND(MOD(E28-D28,1)*1440,0)/1440,"")</f>
      </c>
      <c r="H28" s="23">
        <f>IF(AND(ISNUMBER(C28),ISNUMBER(F28)),ROUND(MOD(F28-C28,1)*1440,0)/1440-N(G28),"")</f>
      </c>
      <c r="I28" s="23">
        <f>IF(H28="","",MAX(0,ROUND((H28-$G$6/24)*1440,0)/1440))</f>
      </c>
      <c r="J28" s="24">
        <f>IF(AND(ISNUMBER(C28),NOT(ISNUMBER(F28))),"Falta la salida",IF(AND(ISNUMBER(F28),NOT(ISNUMBER(C28))),"Falta el ingreso",IF(AND(ISNUMBER(G28),G28&gt;0,G28&lt;45/1440),"Refrigerio menor a 45 min","")))</f>
      </c>
      <c r="K28" s="25"/>
      <c r="L28" s="25"/>
    </row>
    <row r="29" ht="20" customHeight="1" spans="1:12" x14ac:dyDescent="0.25">
      <c r="A29" s="20">
        <f>IF($N$4+20&lt;$N$5,$N$4+20,"")</f>
      </c>
      <c r="B29" s="21">
        <f>IF(A29="","",INDEX(Listas!$A$2:$A$8,WEEKDAY(A29))&amp;IF(COUNTIF(Feriados!$A$6:$A$49,A29)&gt;0," · feriado",""))</f>
      </c>
      <c r="C29" s="22"/>
      <c r="D29" s="22"/>
      <c r="E29" s="22"/>
      <c r="F29" s="22"/>
      <c r="G29" s="23">
        <f>IF(AND(ISNUMBER(D29),ISNUMBER(E29)),ROUND(MOD(E29-D29,1)*1440,0)/1440,"")</f>
      </c>
      <c r="H29" s="23">
        <f>IF(AND(ISNUMBER(C29),ISNUMBER(F29)),ROUND(MOD(F29-C29,1)*1440,0)/1440-N(G29),"")</f>
      </c>
      <c r="I29" s="23">
        <f>IF(H29="","",MAX(0,ROUND((H29-$G$6/24)*1440,0)/1440))</f>
      </c>
      <c r="J29" s="24">
        <f>IF(AND(ISNUMBER(C29),NOT(ISNUMBER(F29))),"Falta la salida",IF(AND(ISNUMBER(F29),NOT(ISNUMBER(C29))),"Falta el ingreso",IF(AND(ISNUMBER(G29),G29&gt;0,G29&lt;45/1440),"Refrigerio menor a 45 min","")))</f>
      </c>
      <c r="K29" s="25"/>
      <c r="L29" s="25"/>
    </row>
    <row r="30" ht="20" customHeight="1" spans="1:12" x14ac:dyDescent="0.25">
      <c r="A30" s="20">
        <f>IF($N$4+21&lt;$N$5,$N$4+21,"")</f>
      </c>
      <c r="B30" s="21">
        <f>IF(A30="","",INDEX(Listas!$A$2:$A$8,WEEKDAY(A30))&amp;IF(COUNTIF(Feriados!$A$6:$A$49,A30)&gt;0," · feriado",""))</f>
      </c>
      <c r="C30" s="22"/>
      <c r="D30" s="22"/>
      <c r="E30" s="22"/>
      <c r="F30" s="22"/>
      <c r="G30" s="23">
        <f>IF(AND(ISNUMBER(D30),ISNUMBER(E30)),ROUND(MOD(E30-D30,1)*1440,0)/1440,"")</f>
      </c>
      <c r="H30" s="23">
        <f>IF(AND(ISNUMBER(C30),ISNUMBER(F30)),ROUND(MOD(F30-C30,1)*1440,0)/1440-N(G30),"")</f>
      </c>
      <c r="I30" s="23">
        <f>IF(H30="","",MAX(0,ROUND((H30-$G$6/24)*1440,0)/1440))</f>
      </c>
      <c r="J30" s="24">
        <f>IF(AND(ISNUMBER(C30),NOT(ISNUMBER(F30))),"Falta la salida",IF(AND(ISNUMBER(F30),NOT(ISNUMBER(C30))),"Falta el ingreso",IF(AND(ISNUMBER(G30),G30&gt;0,G30&lt;45/1440),"Refrigerio menor a 45 min","")))</f>
      </c>
      <c r="K30" s="25"/>
      <c r="L30" s="25"/>
    </row>
    <row r="31" ht="20" customHeight="1" spans="1:12" x14ac:dyDescent="0.25">
      <c r="A31" s="20">
        <f>IF($N$4+22&lt;$N$5,$N$4+22,"")</f>
      </c>
      <c r="B31" s="21">
        <f>IF(A31="","",INDEX(Listas!$A$2:$A$8,WEEKDAY(A31))&amp;IF(COUNTIF(Feriados!$A$6:$A$49,A31)&gt;0," · feriado",""))</f>
      </c>
      <c r="C31" s="22"/>
      <c r="D31" s="22"/>
      <c r="E31" s="22"/>
      <c r="F31" s="22"/>
      <c r="G31" s="23">
        <f>IF(AND(ISNUMBER(D31),ISNUMBER(E31)),ROUND(MOD(E31-D31,1)*1440,0)/1440,"")</f>
      </c>
      <c r="H31" s="23">
        <f>IF(AND(ISNUMBER(C31),ISNUMBER(F31)),ROUND(MOD(F31-C31,1)*1440,0)/1440-N(G31),"")</f>
      </c>
      <c r="I31" s="23">
        <f>IF(H31="","",MAX(0,ROUND((H31-$G$6/24)*1440,0)/1440))</f>
      </c>
      <c r="J31" s="24">
        <f>IF(AND(ISNUMBER(C31),NOT(ISNUMBER(F31))),"Falta la salida",IF(AND(ISNUMBER(F31),NOT(ISNUMBER(C31))),"Falta el ingreso",IF(AND(ISNUMBER(G31),G31&gt;0,G31&lt;45/1440),"Refrigerio menor a 45 min","")))</f>
      </c>
      <c r="K31" s="25"/>
      <c r="L31" s="25"/>
    </row>
    <row r="32" ht="20" customHeight="1" spans="1:12" x14ac:dyDescent="0.25">
      <c r="A32" s="20">
        <f>IF($N$4+23&lt;$N$5,$N$4+23,"")</f>
      </c>
      <c r="B32" s="21">
        <f>IF(A32="","",INDEX(Listas!$A$2:$A$8,WEEKDAY(A32))&amp;IF(COUNTIF(Feriados!$A$6:$A$49,A32)&gt;0," · feriado",""))</f>
      </c>
      <c r="C32" s="22"/>
      <c r="D32" s="22"/>
      <c r="E32" s="22"/>
      <c r="F32" s="22"/>
      <c r="G32" s="23">
        <f>IF(AND(ISNUMBER(D32),ISNUMBER(E32)),ROUND(MOD(E32-D32,1)*1440,0)/1440,"")</f>
      </c>
      <c r="H32" s="23">
        <f>IF(AND(ISNUMBER(C32),ISNUMBER(F32)),ROUND(MOD(F32-C32,1)*1440,0)/1440-N(G32),"")</f>
      </c>
      <c r="I32" s="23">
        <f>IF(H32="","",MAX(0,ROUND((H32-$G$6/24)*1440,0)/1440))</f>
      </c>
      <c r="J32" s="24">
        <f>IF(AND(ISNUMBER(C32),NOT(ISNUMBER(F32))),"Falta la salida",IF(AND(ISNUMBER(F32),NOT(ISNUMBER(C32))),"Falta el ingreso",IF(AND(ISNUMBER(G32),G32&gt;0,G32&lt;45/1440),"Refrigerio menor a 45 min","")))</f>
      </c>
      <c r="K32" s="25"/>
      <c r="L32" s="25"/>
    </row>
    <row r="33" ht="20" customHeight="1" spans="1:12" x14ac:dyDescent="0.25">
      <c r="A33" s="20">
        <f>IF($N$4+24&lt;$N$5,$N$4+24,"")</f>
      </c>
      <c r="B33" s="21">
        <f>IF(A33="","",INDEX(Listas!$A$2:$A$8,WEEKDAY(A33))&amp;IF(COUNTIF(Feriados!$A$6:$A$49,A33)&gt;0," · feriado",""))</f>
      </c>
      <c r="C33" s="22"/>
      <c r="D33" s="22"/>
      <c r="E33" s="22"/>
      <c r="F33" s="22"/>
      <c r="G33" s="23">
        <f>IF(AND(ISNUMBER(D33),ISNUMBER(E33)),ROUND(MOD(E33-D33,1)*1440,0)/1440,"")</f>
      </c>
      <c r="H33" s="23">
        <f>IF(AND(ISNUMBER(C33),ISNUMBER(F33)),ROUND(MOD(F33-C33,1)*1440,0)/1440-N(G33),"")</f>
      </c>
      <c r="I33" s="23">
        <f>IF(H33="","",MAX(0,ROUND((H33-$G$6/24)*1440,0)/1440))</f>
      </c>
      <c r="J33" s="24">
        <f>IF(AND(ISNUMBER(C33),NOT(ISNUMBER(F33))),"Falta la salida",IF(AND(ISNUMBER(F33),NOT(ISNUMBER(C33))),"Falta el ingreso",IF(AND(ISNUMBER(G33),G33&gt;0,G33&lt;45/1440),"Refrigerio menor a 45 min","")))</f>
      </c>
      <c r="K33" s="25"/>
      <c r="L33" s="25"/>
    </row>
    <row r="34" ht="20" customHeight="1" spans="1:12" x14ac:dyDescent="0.25">
      <c r="A34" s="20">
        <f>IF($N$4+25&lt;$N$5,$N$4+25,"")</f>
      </c>
      <c r="B34" s="21">
        <f>IF(A34="","",INDEX(Listas!$A$2:$A$8,WEEKDAY(A34))&amp;IF(COUNTIF(Feriados!$A$6:$A$49,A34)&gt;0," · feriado",""))</f>
      </c>
      <c r="C34" s="22"/>
      <c r="D34" s="22"/>
      <c r="E34" s="22"/>
      <c r="F34" s="22"/>
      <c r="G34" s="23">
        <f>IF(AND(ISNUMBER(D34),ISNUMBER(E34)),ROUND(MOD(E34-D34,1)*1440,0)/1440,"")</f>
      </c>
      <c r="H34" s="23">
        <f>IF(AND(ISNUMBER(C34),ISNUMBER(F34)),ROUND(MOD(F34-C34,1)*1440,0)/1440-N(G34),"")</f>
      </c>
      <c r="I34" s="23">
        <f>IF(H34="","",MAX(0,ROUND((H34-$G$6/24)*1440,0)/1440))</f>
      </c>
      <c r="J34" s="24">
        <f>IF(AND(ISNUMBER(C34),NOT(ISNUMBER(F34))),"Falta la salida",IF(AND(ISNUMBER(F34),NOT(ISNUMBER(C34))),"Falta el ingreso",IF(AND(ISNUMBER(G34),G34&gt;0,G34&lt;45/1440),"Refrigerio menor a 45 min","")))</f>
      </c>
      <c r="K34" s="25"/>
      <c r="L34" s="25"/>
    </row>
    <row r="35" ht="20" customHeight="1" spans="1:12" x14ac:dyDescent="0.25">
      <c r="A35" s="20">
        <f>IF($N$4+26&lt;$N$5,$N$4+26,"")</f>
      </c>
      <c r="B35" s="21">
        <f>IF(A35="","",INDEX(Listas!$A$2:$A$8,WEEKDAY(A35))&amp;IF(COUNTIF(Feriados!$A$6:$A$49,A35)&gt;0," · feriado",""))</f>
      </c>
      <c r="C35" s="22"/>
      <c r="D35" s="22"/>
      <c r="E35" s="22"/>
      <c r="F35" s="22"/>
      <c r="G35" s="23">
        <f>IF(AND(ISNUMBER(D35),ISNUMBER(E35)),ROUND(MOD(E35-D35,1)*1440,0)/1440,"")</f>
      </c>
      <c r="H35" s="23">
        <f>IF(AND(ISNUMBER(C35),ISNUMBER(F35)),ROUND(MOD(F35-C35,1)*1440,0)/1440-N(G35),"")</f>
      </c>
      <c r="I35" s="23">
        <f>IF(H35="","",MAX(0,ROUND((H35-$G$6/24)*1440,0)/1440))</f>
      </c>
      <c r="J35" s="24">
        <f>IF(AND(ISNUMBER(C35),NOT(ISNUMBER(F35))),"Falta la salida",IF(AND(ISNUMBER(F35),NOT(ISNUMBER(C35))),"Falta el ingreso",IF(AND(ISNUMBER(G35),G35&gt;0,G35&lt;45/1440),"Refrigerio menor a 45 min","")))</f>
      </c>
      <c r="K35" s="25"/>
      <c r="L35" s="25"/>
    </row>
    <row r="36" ht="20" customHeight="1" spans="1:12" x14ac:dyDescent="0.25">
      <c r="A36" s="20">
        <f>IF($N$4+27&lt;$N$5,$N$4+27,"")</f>
      </c>
      <c r="B36" s="21">
        <f>IF(A36="","",INDEX(Listas!$A$2:$A$8,WEEKDAY(A36))&amp;IF(COUNTIF(Feriados!$A$6:$A$49,A36)&gt;0," · feriado",""))</f>
      </c>
      <c r="C36" s="22"/>
      <c r="D36" s="22"/>
      <c r="E36" s="22"/>
      <c r="F36" s="22"/>
      <c r="G36" s="23">
        <f>IF(AND(ISNUMBER(D36),ISNUMBER(E36)),ROUND(MOD(E36-D36,1)*1440,0)/1440,"")</f>
      </c>
      <c r="H36" s="23">
        <f>IF(AND(ISNUMBER(C36),ISNUMBER(F36)),ROUND(MOD(F36-C36,1)*1440,0)/1440-N(G36),"")</f>
      </c>
      <c r="I36" s="23">
        <f>IF(H36="","",MAX(0,ROUND((H36-$G$6/24)*1440,0)/1440))</f>
      </c>
      <c r="J36" s="24">
        <f>IF(AND(ISNUMBER(C36),NOT(ISNUMBER(F36))),"Falta la salida",IF(AND(ISNUMBER(F36),NOT(ISNUMBER(C36))),"Falta el ingreso",IF(AND(ISNUMBER(G36),G36&gt;0,G36&lt;45/1440),"Refrigerio menor a 45 min","")))</f>
      </c>
      <c r="K36" s="25"/>
      <c r="L36" s="25"/>
    </row>
    <row r="37" ht="20" customHeight="1" spans="1:12" x14ac:dyDescent="0.25">
      <c r="A37" s="20">
        <f>IF($N$4+28&lt;$N$5,$N$4+28,"")</f>
      </c>
      <c r="B37" s="21">
        <f>IF(A37="","",INDEX(Listas!$A$2:$A$8,WEEKDAY(A37))&amp;IF(COUNTIF(Feriados!$A$6:$A$49,A37)&gt;0," · feriado",""))</f>
      </c>
      <c r="C37" s="22"/>
      <c r="D37" s="22"/>
      <c r="E37" s="22"/>
      <c r="F37" s="22"/>
      <c r="G37" s="23">
        <f>IF(AND(ISNUMBER(D37),ISNUMBER(E37)),ROUND(MOD(E37-D37,1)*1440,0)/1440,"")</f>
      </c>
      <c r="H37" s="23">
        <f>IF(AND(ISNUMBER(C37),ISNUMBER(F37)),ROUND(MOD(F37-C37,1)*1440,0)/1440-N(G37),"")</f>
      </c>
      <c r="I37" s="23">
        <f>IF(H37="","",MAX(0,ROUND((H37-$G$6/24)*1440,0)/1440))</f>
      </c>
      <c r="J37" s="24">
        <f>IF(AND(ISNUMBER(C37),NOT(ISNUMBER(F37))),"Falta la salida",IF(AND(ISNUMBER(F37),NOT(ISNUMBER(C37))),"Falta el ingreso",IF(AND(ISNUMBER(G37),G37&gt;0,G37&lt;45/1440),"Refrigerio menor a 45 min","")))</f>
      </c>
      <c r="K37" s="25"/>
      <c r="L37" s="25"/>
    </row>
    <row r="38" ht="20" customHeight="1" spans="1:12" x14ac:dyDescent="0.25">
      <c r="A38" s="20">
        <f>IF($N$4+29&lt;$N$5,$N$4+29,"")</f>
      </c>
      <c r="B38" s="21">
        <f>IF(A38="","",INDEX(Listas!$A$2:$A$8,WEEKDAY(A38))&amp;IF(COUNTIF(Feriados!$A$6:$A$49,A38)&gt;0," · feriado",""))</f>
      </c>
      <c r="C38" s="22"/>
      <c r="D38" s="22"/>
      <c r="E38" s="22"/>
      <c r="F38" s="22"/>
      <c r="G38" s="23">
        <f>IF(AND(ISNUMBER(D38),ISNUMBER(E38)),ROUND(MOD(E38-D38,1)*1440,0)/1440,"")</f>
      </c>
      <c r="H38" s="23">
        <f>IF(AND(ISNUMBER(C38),ISNUMBER(F38)),ROUND(MOD(F38-C38,1)*1440,0)/1440-N(G38),"")</f>
      </c>
      <c r="I38" s="23">
        <f>IF(H38="","",MAX(0,ROUND((H38-$G$6/24)*1440,0)/1440))</f>
      </c>
      <c r="J38" s="24">
        <f>IF(AND(ISNUMBER(C38),NOT(ISNUMBER(F38))),"Falta la salida",IF(AND(ISNUMBER(F38),NOT(ISNUMBER(C38))),"Falta el ingreso",IF(AND(ISNUMBER(G38),G38&gt;0,G38&lt;45/1440),"Refrigerio menor a 45 min","")))</f>
      </c>
      <c r="K38" s="25"/>
      <c r="L38" s="25"/>
    </row>
    <row r="39" ht="20" customHeight="1" spans="1:12" x14ac:dyDescent="0.25">
      <c r="A39" s="20">
        <f>IF($N$4+30&lt;$N$5,$N$4+30,"")</f>
      </c>
      <c r="B39" s="21">
        <f>IF(A39="","",INDEX(Listas!$A$2:$A$8,WEEKDAY(A39))&amp;IF(COUNTIF(Feriados!$A$6:$A$49,A39)&gt;0," · feriado",""))</f>
      </c>
      <c r="C39" s="22"/>
      <c r="D39" s="22"/>
      <c r="E39" s="22"/>
      <c r="F39" s="22"/>
      <c r="G39" s="23">
        <f>IF(AND(ISNUMBER(D39),ISNUMBER(E39)),ROUND(MOD(E39-D39,1)*1440,0)/1440,"")</f>
      </c>
      <c r="H39" s="23">
        <f>IF(AND(ISNUMBER(C39),ISNUMBER(F39)),ROUND(MOD(F39-C39,1)*1440,0)/1440-N(G39),"")</f>
      </c>
      <c r="I39" s="23">
        <f>IF(H39="","",MAX(0,ROUND((H39-$G$6/24)*1440,0)/1440))</f>
      </c>
      <c r="J39" s="24">
        <f>IF(AND(ISNUMBER(C39),NOT(ISNUMBER(F39))),"Falta la salida",IF(AND(ISNUMBER(F39),NOT(ISNUMBER(C39))),"Falta el ingreso",IF(AND(ISNUMBER(G39),G39&gt;0,G39&lt;45/1440),"Refrigerio menor a 45 min","")))</f>
      </c>
      <c r="K39" s="25"/>
      <c r="L39" s="25"/>
    </row>
    <row r="40" spans="7:9" x14ac:dyDescent="0.25">
      <c r="G40" s="16" t="s">
        <v>50</v>
      </c>
      <c r="H40" s="26">
        <f>SUM(H9:H39)</f>
      </c>
      <c r="I40" s="26">
        <f>SUM(I9:I39)</f>
      </c>
    </row>
    <row r="42" spans="1:1" x14ac:dyDescent="0.25">
      <c r="A42" s="6" t="s">
        <v>17</v>
      </c>
    </row>
    <row r="43" spans="1:1" x14ac:dyDescent="0.25">
      <c r="A43" s="7" t="s">
        <v>18</v>
      </c>
    </row>
    <row r="44" spans="1:1" x14ac:dyDescent="0.25">
      <c r="A44" s="8" t="s">
        <v>19</v>
      </c>
    </row>
    <row r="45" spans="1:1" x14ac:dyDescent="0.25">
      <c r="A45" s="7" t="s">
        <v>20</v>
      </c>
    </row>
  </sheetData>
  <mergeCells count="7">
    <mergeCell ref="A1:L1"/>
    <mergeCell ref="A2:L2"/>
    <mergeCell ref="A3:L3"/>
    <mergeCell ref="B4:E4"/>
    <mergeCell ref="G4:I4"/>
    <mergeCell ref="B5:E5"/>
    <mergeCell ref="G5:I5"/>
  </mergeCells>
  <conditionalFormatting sqref="A9:B39">
    <cfRule type="expression" dxfId="2" priority="1">
      <formula>RIGHT($B9,7)="feriado"</formula>
    </cfRule>
  </conditionalFormatting>
  <hyperlinks>
    <hyperlink ref="A44" r:id="rId1"/>
  </hyperlinks>
  <pageSetup paperSize="9" orientation="landscape" fitToWidth="1" fitToHeight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1" customWidth="1"/>
    <col min="4" max="5" width="13" customWidth="1"/>
    <col min="6" max="6" width="11" customWidth="1"/>
    <col min="7" max="8" width="12" customWidth="1"/>
    <col min="9" max="9" width="13" customWidth="1"/>
    <col min="10" max="10" width="24" customWidth="1"/>
    <col min="11" max="11" width="30" customWidth="1"/>
    <col min="12" max="12" width="22" customWidth="1"/>
    <col min="13" max="13" width="4" customWidth="1"/>
    <col min="14" max="14" width="12" hidden="1" customWidth="1"/>
  </cols>
  <sheetData>
    <row r="1" ht="3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 spans="1:12" x14ac:dyDescent="0.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2" customHeight="1" spans="1:12" x14ac:dyDescent="0.25">
      <c r="A3" s="9" t="s">
        <v>31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x14ac:dyDescent="0.25">
      <c r="A4" s="10" t="s">
        <v>32</v>
      </c>
      <c r="B4" s="14">
        <f>IF(Datos!$B$5="","",Datos!$B$5)</f>
      </c>
      <c r="C4" s="14"/>
      <c r="D4" s="14"/>
      <c r="E4" s="14"/>
      <c r="F4" s="10" t="s">
        <v>33</v>
      </c>
      <c r="G4" s="14">
        <f>IF(Datos!$B$6="","",Datos!$B$6)</f>
      </c>
      <c r="H4" s="14"/>
      <c r="I4" s="14"/>
      <c r="N4" s="15">
        <f>INDEX(Listas!$C$2:$C$62,($D$6-2026)*12+4)</f>
      </c>
    </row>
    <row r="5" spans="1:14" x14ac:dyDescent="0.25">
      <c r="A5" s="10" t="s">
        <v>34</v>
      </c>
      <c r="B5" s="14">
        <f>IF(Datos!$B$7="","",Datos!$B$7)</f>
      </c>
      <c r="C5" s="14"/>
      <c r="D5" s="14"/>
      <c r="E5" s="14"/>
      <c r="F5" s="10" t="s">
        <v>35</v>
      </c>
      <c r="G5" s="14">
        <f>IF(Datos!$B$8="","",Datos!$B$8)</f>
      </c>
      <c r="H5" s="14"/>
      <c r="I5" s="14"/>
      <c r="N5" s="15">
        <f>INDEX(Listas!$C$2:$C$62,($D$6-2026)*12+5)</f>
      </c>
    </row>
    <row r="6" spans="1:7" x14ac:dyDescent="0.25">
      <c r="A6" s="10" t="s">
        <v>36</v>
      </c>
      <c r="B6" s="16" t="s">
        <v>56</v>
      </c>
      <c r="C6" s="10" t="s">
        <v>38</v>
      </c>
      <c r="D6" s="17">
        <f>Datos!$B$10</f>
      </c>
      <c r="F6" s="10" t="s">
        <v>39</v>
      </c>
      <c r="G6" s="18">
        <f>Datos!$B$9</f>
      </c>
    </row>
    <row r="8" ht="42" customHeight="1" spans="1:12" x14ac:dyDescent="0.25">
      <c r="A8" s="19" t="s">
        <v>40</v>
      </c>
      <c r="B8" s="19" t="s">
        <v>41</v>
      </c>
      <c r="C8" s="19" t="s">
        <v>42</v>
      </c>
      <c r="D8" s="19" t="s">
        <v>43</v>
      </c>
      <c r="E8" s="19" t="s">
        <v>44</v>
      </c>
      <c r="F8" s="19" t="s">
        <v>45</v>
      </c>
      <c r="G8" s="19" t="s">
        <v>9</v>
      </c>
      <c r="H8" s="19" t="s">
        <v>46</v>
      </c>
      <c r="I8" s="19" t="s">
        <v>11</v>
      </c>
      <c r="J8" s="19" t="s">
        <v>47</v>
      </c>
      <c r="K8" s="19" t="s">
        <v>48</v>
      </c>
      <c r="L8" s="19" t="s">
        <v>49</v>
      </c>
    </row>
    <row r="9" ht="20" customHeight="1" spans="1:12" x14ac:dyDescent="0.25">
      <c r="A9" s="20">
        <f>IF($N$4+0&lt;$N$5,$N$4+0,"")</f>
      </c>
      <c r="B9" s="21">
        <f>IF(A9="","",INDEX(Listas!$A$2:$A$8,WEEKDAY(A9))&amp;IF(COUNTIF(Feriados!$A$6:$A$49,A9)&gt;0," · feriado",""))</f>
      </c>
      <c r="C9" s="22"/>
      <c r="D9" s="22"/>
      <c r="E9" s="22"/>
      <c r="F9" s="22"/>
      <c r="G9" s="23">
        <f>IF(AND(ISNUMBER(D9),ISNUMBER(E9)),ROUND(MOD(E9-D9,1)*1440,0)/1440,"")</f>
      </c>
      <c r="H9" s="23">
        <f>IF(AND(ISNUMBER(C9),ISNUMBER(F9)),ROUND(MOD(F9-C9,1)*1440,0)/1440-N(G9),"")</f>
      </c>
      <c r="I9" s="23">
        <f>IF(H9="","",MAX(0,ROUND((H9-$G$6/24)*1440,0)/1440))</f>
      </c>
      <c r="J9" s="24">
        <f>IF(AND(ISNUMBER(C9),NOT(ISNUMBER(F9))),"Falta la salida",IF(AND(ISNUMBER(F9),NOT(ISNUMBER(C9))),"Falta el ingreso",IF(AND(ISNUMBER(G9),G9&gt;0,G9&lt;45/1440),"Refrigerio menor a 45 min","")))</f>
      </c>
      <c r="K9" s="25"/>
      <c r="L9" s="25"/>
    </row>
    <row r="10" ht="20" customHeight="1" spans="1:12" x14ac:dyDescent="0.25">
      <c r="A10" s="20">
        <f>IF($N$4+1&lt;$N$5,$N$4+1,"")</f>
      </c>
      <c r="B10" s="21">
        <f>IF(A10="","",INDEX(Listas!$A$2:$A$8,WEEKDAY(A10))&amp;IF(COUNTIF(Feriados!$A$6:$A$49,A10)&gt;0," · feriado",""))</f>
      </c>
      <c r="C10" s="22"/>
      <c r="D10" s="22"/>
      <c r="E10" s="22"/>
      <c r="F10" s="22"/>
      <c r="G10" s="23">
        <f>IF(AND(ISNUMBER(D10),ISNUMBER(E10)),ROUND(MOD(E10-D10,1)*1440,0)/1440,"")</f>
      </c>
      <c r="H10" s="23">
        <f>IF(AND(ISNUMBER(C10),ISNUMBER(F10)),ROUND(MOD(F10-C10,1)*1440,0)/1440-N(G10),"")</f>
      </c>
      <c r="I10" s="23">
        <f>IF(H10="","",MAX(0,ROUND((H10-$G$6/24)*1440,0)/1440))</f>
      </c>
      <c r="J10" s="24">
        <f>IF(AND(ISNUMBER(C10),NOT(ISNUMBER(F10))),"Falta la salida",IF(AND(ISNUMBER(F10),NOT(ISNUMBER(C10))),"Falta el ingreso",IF(AND(ISNUMBER(G10),G10&gt;0,G10&lt;45/1440),"Refrigerio menor a 45 min","")))</f>
      </c>
      <c r="K10" s="25"/>
      <c r="L10" s="25"/>
    </row>
    <row r="11" ht="20" customHeight="1" spans="1:12" x14ac:dyDescent="0.25">
      <c r="A11" s="20">
        <f>IF($N$4+2&lt;$N$5,$N$4+2,"")</f>
      </c>
      <c r="B11" s="21">
        <f>IF(A11="","",INDEX(Listas!$A$2:$A$8,WEEKDAY(A11))&amp;IF(COUNTIF(Feriados!$A$6:$A$49,A11)&gt;0," · feriado",""))</f>
      </c>
      <c r="C11" s="22"/>
      <c r="D11" s="22"/>
      <c r="E11" s="22"/>
      <c r="F11" s="22"/>
      <c r="G11" s="23">
        <f>IF(AND(ISNUMBER(D11),ISNUMBER(E11)),ROUND(MOD(E11-D11,1)*1440,0)/1440,"")</f>
      </c>
      <c r="H11" s="23">
        <f>IF(AND(ISNUMBER(C11),ISNUMBER(F11)),ROUND(MOD(F11-C11,1)*1440,0)/1440-N(G11),"")</f>
      </c>
      <c r="I11" s="23">
        <f>IF(H11="","",MAX(0,ROUND((H11-$G$6/24)*1440,0)/1440))</f>
      </c>
      <c r="J11" s="24">
        <f>IF(AND(ISNUMBER(C11),NOT(ISNUMBER(F11))),"Falta la salida",IF(AND(ISNUMBER(F11),NOT(ISNUMBER(C11))),"Falta el ingreso",IF(AND(ISNUMBER(G11),G11&gt;0,G11&lt;45/1440),"Refrigerio menor a 45 min","")))</f>
      </c>
      <c r="K11" s="25"/>
      <c r="L11" s="25"/>
    </row>
    <row r="12" ht="20" customHeight="1" spans="1:12" x14ac:dyDescent="0.25">
      <c r="A12" s="20">
        <f>IF($N$4+3&lt;$N$5,$N$4+3,"")</f>
      </c>
      <c r="B12" s="21">
        <f>IF(A12="","",INDEX(Listas!$A$2:$A$8,WEEKDAY(A12))&amp;IF(COUNTIF(Feriados!$A$6:$A$49,A12)&gt;0," · feriado",""))</f>
      </c>
      <c r="C12" s="22"/>
      <c r="D12" s="22"/>
      <c r="E12" s="22"/>
      <c r="F12" s="22"/>
      <c r="G12" s="23">
        <f>IF(AND(ISNUMBER(D12),ISNUMBER(E12)),ROUND(MOD(E12-D12,1)*1440,0)/1440,"")</f>
      </c>
      <c r="H12" s="23">
        <f>IF(AND(ISNUMBER(C12),ISNUMBER(F12)),ROUND(MOD(F12-C12,1)*1440,0)/1440-N(G12),"")</f>
      </c>
      <c r="I12" s="23">
        <f>IF(H12="","",MAX(0,ROUND((H12-$G$6/24)*1440,0)/1440))</f>
      </c>
      <c r="J12" s="24">
        <f>IF(AND(ISNUMBER(C12),NOT(ISNUMBER(F12))),"Falta la salida",IF(AND(ISNUMBER(F12),NOT(ISNUMBER(C12))),"Falta el ingreso",IF(AND(ISNUMBER(G12),G12&gt;0,G12&lt;45/1440),"Refrigerio menor a 45 min","")))</f>
      </c>
      <c r="K12" s="25"/>
      <c r="L12" s="25"/>
    </row>
    <row r="13" ht="20" customHeight="1" spans="1:12" x14ac:dyDescent="0.25">
      <c r="A13" s="20">
        <f>IF($N$4+4&lt;$N$5,$N$4+4,"")</f>
      </c>
      <c r="B13" s="21">
        <f>IF(A13="","",INDEX(Listas!$A$2:$A$8,WEEKDAY(A13))&amp;IF(COUNTIF(Feriados!$A$6:$A$49,A13)&gt;0," · feriado",""))</f>
      </c>
      <c r="C13" s="22"/>
      <c r="D13" s="22"/>
      <c r="E13" s="22"/>
      <c r="F13" s="22"/>
      <c r="G13" s="23">
        <f>IF(AND(ISNUMBER(D13),ISNUMBER(E13)),ROUND(MOD(E13-D13,1)*1440,0)/1440,"")</f>
      </c>
      <c r="H13" s="23">
        <f>IF(AND(ISNUMBER(C13),ISNUMBER(F13)),ROUND(MOD(F13-C13,1)*1440,0)/1440-N(G13),"")</f>
      </c>
      <c r="I13" s="23">
        <f>IF(H13="","",MAX(0,ROUND((H13-$G$6/24)*1440,0)/1440))</f>
      </c>
      <c r="J13" s="24">
        <f>IF(AND(ISNUMBER(C13),NOT(ISNUMBER(F13))),"Falta la salida",IF(AND(ISNUMBER(F13),NOT(ISNUMBER(C13))),"Falta el ingreso",IF(AND(ISNUMBER(G13),G13&gt;0,G13&lt;45/1440),"Refrigerio menor a 45 min","")))</f>
      </c>
      <c r="K13" s="25"/>
      <c r="L13" s="25"/>
    </row>
    <row r="14" ht="20" customHeight="1" spans="1:12" x14ac:dyDescent="0.25">
      <c r="A14" s="20">
        <f>IF($N$4+5&lt;$N$5,$N$4+5,"")</f>
      </c>
      <c r="B14" s="21">
        <f>IF(A14="","",INDEX(Listas!$A$2:$A$8,WEEKDAY(A14))&amp;IF(COUNTIF(Feriados!$A$6:$A$49,A14)&gt;0," · feriado",""))</f>
      </c>
      <c r="C14" s="22"/>
      <c r="D14" s="22"/>
      <c r="E14" s="22"/>
      <c r="F14" s="22"/>
      <c r="G14" s="23">
        <f>IF(AND(ISNUMBER(D14),ISNUMBER(E14)),ROUND(MOD(E14-D14,1)*1440,0)/1440,"")</f>
      </c>
      <c r="H14" s="23">
        <f>IF(AND(ISNUMBER(C14),ISNUMBER(F14)),ROUND(MOD(F14-C14,1)*1440,0)/1440-N(G14),"")</f>
      </c>
      <c r="I14" s="23">
        <f>IF(H14="","",MAX(0,ROUND((H14-$G$6/24)*1440,0)/1440))</f>
      </c>
      <c r="J14" s="24">
        <f>IF(AND(ISNUMBER(C14),NOT(ISNUMBER(F14))),"Falta la salida",IF(AND(ISNUMBER(F14),NOT(ISNUMBER(C14))),"Falta el ingreso",IF(AND(ISNUMBER(G14),G14&gt;0,G14&lt;45/1440),"Refrigerio menor a 45 min","")))</f>
      </c>
      <c r="K14" s="25"/>
      <c r="L14" s="25"/>
    </row>
    <row r="15" ht="20" customHeight="1" spans="1:12" x14ac:dyDescent="0.25">
      <c r="A15" s="20">
        <f>IF($N$4+6&lt;$N$5,$N$4+6,"")</f>
      </c>
      <c r="B15" s="21">
        <f>IF(A15="","",INDEX(Listas!$A$2:$A$8,WEEKDAY(A15))&amp;IF(COUNTIF(Feriados!$A$6:$A$49,A15)&gt;0," · feriado",""))</f>
      </c>
      <c r="C15" s="22"/>
      <c r="D15" s="22"/>
      <c r="E15" s="22"/>
      <c r="F15" s="22"/>
      <c r="G15" s="23">
        <f>IF(AND(ISNUMBER(D15),ISNUMBER(E15)),ROUND(MOD(E15-D15,1)*1440,0)/1440,"")</f>
      </c>
      <c r="H15" s="23">
        <f>IF(AND(ISNUMBER(C15),ISNUMBER(F15)),ROUND(MOD(F15-C15,1)*1440,0)/1440-N(G15),"")</f>
      </c>
      <c r="I15" s="23">
        <f>IF(H15="","",MAX(0,ROUND((H15-$G$6/24)*1440,0)/1440))</f>
      </c>
      <c r="J15" s="24">
        <f>IF(AND(ISNUMBER(C15),NOT(ISNUMBER(F15))),"Falta la salida",IF(AND(ISNUMBER(F15),NOT(ISNUMBER(C15))),"Falta el ingreso",IF(AND(ISNUMBER(G15),G15&gt;0,G15&lt;45/1440),"Refrigerio menor a 45 min","")))</f>
      </c>
      <c r="K15" s="25"/>
      <c r="L15" s="25"/>
    </row>
    <row r="16" ht="20" customHeight="1" spans="1:12" x14ac:dyDescent="0.25">
      <c r="A16" s="20">
        <f>IF($N$4+7&lt;$N$5,$N$4+7,"")</f>
      </c>
      <c r="B16" s="21">
        <f>IF(A16="","",INDEX(Listas!$A$2:$A$8,WEEKDAY(A16))&amp;IF(COUNTIF(Feriados!$A$6:$A$49,A16)&gt;0," · feriado",""))</f>
      </c>
      <c r="C16" s="22"/>
      <c r="D16" s="22"/>
      <c r="E16" s="22"/>
      <c r="F16" s="22"/>
      <c r="G16" s="23">
        <f>IF(AND(ISNUMBER(D16),ISNUMBER(E16)),ROUND(MOD(E16-D16,1)*1440,0)/1440,"")</f>
      </c>
      <c r="H16" s="23">
        <f>IF(AND(ISNUMBER(C16),ISNUMBER(F16)),ROUND(MOD(F16-C16,1)*1440,0)/1440-N(G16),"")</f>
      </c>
      <c r="I16" s="23">
        <f>IF(H16="","",MAX(0,ROUND((H16-$G$6/24)*1440,0)/1440))</f>
      </c>
      <c r="J16" s="24">
        <f>IF(AND(ISNUMBER(C16),NOT(ISNUMBER(F16))),"Falta la salida",IF(AND(ISNUMBER(F16),NOT(ISNUMBER(C16))),"Falta el ingreso",IF(AND(ISNUMBER(G16),G16&gt;0,G16&lt;45/1440),"Refrigerio menor a 45 min","")))</f>
      </c>
      <c r="K16" s="25"/>
      <c r="L16" s="25"/>
    </row>
    <row r="17" ht="20" customHeight="1" spans="1:12" x14ac:dyDescent="0.25">
      <c r="A17" s="20">
        <f>IF($N$4+8&lt;$N$5,$N$4+8,"")</f>
      </c>
      <c r="B17" s="21">
        <f>IF(A17="","",INDEX(Listas!$A$2:$A$8,WEEKDAY(A17))&amp;IF(COUNTIF(Feriados!$A$6:$A$49,A17)&gt;0," · feriado",""))</f>
      </c>
      <c r="C17" s="22"/>
      <c r="D17" s="22"/>
      <c r="E17" s="22"/>
      <c r="F17" s="22"/>
      <c r="G17" s="23">
        <f>IF(AND(ISNUMBER(D17),ISNUMBER(E17)),ROUND(MOD(E17-D17,1)*1440,0)/1440,"")</f>
      </c>
      <c r="H17" s="23">
        <f>IF(AND(ISNUMBER(C17),ISNUMBER(F17)),ROUND(MOD(F17-C17,1)*1440,0)/1440-N(G17),"")</f>
      </c>
      <c r="I17" s="23">
        <f>IF(H17="","",MAX(0,ROUND((H17-$G$6/24)*1440,0)/1440))</f>
      </c>
      <c r="J17" s="24">
        <f>IF(AND(ISNUMBER(C17),NOT(ISNUMBER(F17))),"Falta la salida",IF(AND(ISNUMBER(F17),NOT(ISNUMBER(C17))),"Falta el ingreso",IF(AND(ISNUMBER(G17),G17&gt;0,G17&lt;45/1440),"Refrigerio menor a 45 min","")))</f>
      </c>
      <c r="K17" s="25"/>
      <c r="L17" s="25"/>
    </row>
    <row r="18" ht="20" customHeight="1" spans="1:12" x14ac:dyDescent="0.25">
      <c r="A18" s="20">
        <f>IF($N$4+9&lt;$N$5,$N$4+9,"")</f>
      </c>
      <c r="B18" s="21">
        <f>IF(A18="","",INDEX(Listas!$A$2:$A$8,WEEKDAY(A18))&amp;IF(COUNTIF(Feriados!$A$6:$A$49,A18)&gt;0," · feriado",""))</f>
      </c>
      <c r="C18" s="22"/>
      <c r="D18" s="22"/>
      <c r="E18" s="22"/>
      <c r="F18" s="22"/>
      <c r="G18" s="23">
        <f>IF(AND(ISNUMBER(D18),ISNUMBER(E18)),ROUND(MOD(E18-D18,1)*1440,0)/1440,"")</f>
      </c>
      <c r="H18" s="23">
        <f>IF(AND(ISNUMBER(C18),ISNUMBER(F18)),ROUND(MOD(F18-C18,1)*1440,0)/1440-N(G18),"")</f>
      </c>
      <c r="I18" s="23">
        <f>IF(H18="","",MAX(0,ROUND((H18-$G$6/24)*1440,0)/1440))</f>
      </c>
      <c r="J18" s="24">
        <f>IF(AND(ISNUMBER(C18),NOT(ISNUMBER(F18))),"Falta la salida",IF(AND(ISNUMBER(F18),NOT(ISNUMBER(C18))),"Falta el ingreso",IF(AND(ISNUMBER(G18),G18&gt;0,G18&lt;45/1440),"Refrigerio menor a 45 min","")))</f>
      </c>
      <c r="K18" s="25"/>
      <c r="L18" s="25"/>
    </row>
    <row r="19" ht="20" customHeight="1" spans="1:12" x14ac:dyDescent="0.25">
      <c r="A19" s="20">
        <f>IF($N$4+10&lt;$N$5,$N$4+10,"")</f>
      </c>
      <c r="B19" s="21">
        <f>IF(A19="","",INDEX(Listas!$A$2:$A$8,WEEKDAY(A19))&amp;IF(COUNTIF(Feriados!$A$6:$A$49,A19)&gt;0," · feriado",""))</f>
      </c>
      <c r="C19" s="22"/>
      <c r="D19" s="22"/>
      <c r="E19" s="22"/>
      <c r="F19" s="22"/>
      <c r="G19" s="23">
        <f>IF(AND(ISNUMBER(D19),ISNUMBER(E19)),ROUND(MOD(E19-D19,1)*1440,0)/1440,"")</f>
      </c>
      <c r="H19" s="23">
        <f>IF(AND(ISNUMBER(C19),ISNUMBER(F19)),ROUND(MOD(F19-C19,1)*1440,0)/1440-N(G19),"")</f>
      </c>
      <c r="I19" s="23">
        <f>IF(H19="","",MAX(0,ROUND((H19-$G$6/24)*1440,0)/1440))</f>
      </c>
      <c r="J19" s="24">
        <f>IF(AND(ISNUMBER(C19),NOT(ISNUMBER(F19))),"Falta la salida",IF(AND(ISNUMBER(F19),NOT(ISNUMBER(C19))),"Falta el ingreso",IF(AND(ISNUMBER(G19),G19&gt;0,G19&lt;45/1440),"Refrigerio menor a 45 min","")))</f>
      </c>
      <c r="K19" s="25"/>
      <c r="L19" s="25"/>
    </row>
    <row r="20" ht="20" customHeight="1" spans="1:12" x14ac:dyDescent="0.25">
      <c r="A20" s="20">
        <f>IF($N$4+11&lt;$N$5,$N$4+11,"")</f>
      </c>
      <c r="B20" s="21">
        <f>IF(A20="","",INDEX(Listas!$A$2:$A$8,WEEKDAY(A20))&amp;IF(COUNTIF(Feriados!$A$6:$A$49,A20)&gt;0," · feriado",""))</f>
      </c>
      <c r="C20" s="22"/>
      <c r="D20" s="22"/>
      <c r="E20" s="22"/>
      <c r="F20" s="22"/>
      <c r="G20" s="23">
        <f>IF(AND(ISNUMBER(D20),ISNUMBER(E20)),ROUND(MOD(E20-D20,1)*1440,0)/1440,"")</f>
      </c>
      <c r="H20" s="23">
        <f>IF(AND(ISNUMBER(C20),ISNUMBER(F20)),ROUND(MOD(F20-C20,1)*1440,0)/1440-N(G20),"")</f>
      </c>
      <c r="I20" s="23">
        <f>IF(H20="","",MAX(0,ROUND((H20-$G$6/24)*1440,0)/1440))</f>
      </c>
      <c r="J20" s="24">
        <f>IF(AND(ISNUMBER(C20),NOT(ISNUMBER(F20))),"Falta la salida",IF(AND(ISNUMBER(F20),NOT(ISNUMBER(C20))),"Falta el ingreso",IF(AND(ISNUMBER(G20),G20&gt;0,G20&lt;45/1440),"Refrigerio menor a 45 min","")))</f>
      </c>
      <c r="K20" s="25"/>
      <c r="L20" s="25"/>
    </row>
    <row r="21" ht="20" customHeight="1" spans="1:12" x14ac:dyDescent="0.25">
      <c r="A21" s="20">
        <f>IF($N$4+12&lt;$N$5,$N$4+12,"")</f>
      </c>
      <c r="B21" s="21">
        <f>IF(A21="","",INDEX(Listas!$A$2:$A$8,WEEKDAY(A21))&amp;IF(COUNTIF(Feriados!$A$6:$A$49,A21)&gt;0," · feriado",""))</f>
      </c>
      <c r="C21" s="22"/>
      <c r="D21" s="22"/>
      <c r="E21" s="22"/>
      <c r="F21" s="22"/>
      <c r="G21" s="23">
        <f>IF(AND(ISNUMBER(D21),ISNUMBER(E21)),ROUND(MOD(E21-D21,1)*1440,0)/1440,"")</f>
      </c>
      <c r="H21" s="23">
        <f>IF(AND(ISNUMBER(C21),ISNUMBER(F21)),ROUND(MOD(F21-C21,1)*1440,0)/1440-N(G21),"")</f>
      </c>
      <c r="I21" s="23">
        <f>IF(H21="","",MAX(0,ROUND((H21-$G$6/24)*1440,0)/1440))</f>
      </c>
      <c r="J21" s="24">
        <f>IF(AND(ISNUMBER(C21),NOT(ISNUMBER(F21))),"Falta la salida",IF(AND(ISNUMBER(F21),NOT(ISNUMBER(C21))),"Falta el ingreso",IF(AND(ISNUMBER(G21),G21&gt;0,G21&lt;45/1440),"Refrigerio menor a 45 min","")))</f>
      </c>
      <c r="K21" s="25"/>
      <c r="L21" s="25"/>
    </row>
    <row r="22" ht="20" customHeight="1" spans="1:12" x14ac:dyDescent="0.25">
      <c r="A22" s="20">
        <f>IF($N$4+13&lt;$N$5,$N$4+13,"")</f>
      </c>
      <c r="B22" s="21">
        <f>IF(A22="","",INDEX(Listas!$A$2:$A$8,WEEKDAY(A22))&amp;IF(COUNTIF(Feriados!$A$6:$A$49,A22)&gt;0," · feriado",""))</f>
      </c>
      <c r="C22" s="22"/>
      <c r="D22" s="22"/>
      <c r="E22" s="22"/>
      <c r="F22" s="22"/>
      <c r="G22" s="23">
        <f>IF(AND(ISNUMBER(D22),ISNUMBER(E22)),ROUND(MOD(E22-D22,1)*1440,0)/1440,"")</f>
      </c>
      <c r="H22" s="23">
        <f>IF(AND(ISNUMBER(C22),ISNUMBER(F22)),ROUND(MOD(F22-C22,1)*1440,0)/1440-N(G22),"")</f>
      </c>
      <c r="I22" s="23">
        <f>IF(H22="","",MAX(0,ROUND((H22-$G$6/24)*1440,0)/1440))</f>
      </c>
      <c r="J22" s="24">
        <f>IF(AND(ISNUMBER(C22),NOT(ISNUMBER(F22))),"Falta la salida",IF(AND(ISNUMBER(F22),NOT(ISNUMBER(C22))),"Falta el ingreso",IF(AND(ISNUMBER(G22),G22&gt;0,G22&lt;45/1440),"Refrigerio menor a 45 min","")))</f>
      </c>
      <c r="K22" s="25"/>
      <c r="L22" s="25"/>
    </row>
    <row r="23" ht="20" customHeight="1" spans="1:12" x14ac:dyDescent="0.25">
      <c r="A23" s="20">
        <f>IF($N$4+14&lt;$N$5,$N$4+14,"")</f>
      </c>
      <c r="B23" s="21">
        <f>IF(A23="","",INDEX(Listas!$A$2:$A$8,WEEKDAY(A23))&amp;IF(COUNTIF(Feriados!$A$6:$A$49,A23)&gt;0," · feriado",""))</f>
      </c>
      <c r="C23" s="22"/>
      <c r="D23" s="22"/>
      <c r="E23" s="22"/>
      <c r="F23" s="22"/>
      <c r="G23" s="23">
        <f>IF(AND(ISNUMBER(D23),ISNUMBER(E23)),ROUND(MOD(E23-D23,1)*1440,0)/1440,"")</f>
      </c>
      <c r="H23" s="23">
        <f>IF(AND(ISNUMBER(C23),ISNUMBER(F23)),ROUND(MOD(F23-C23,1)*1440,0)/1440-N(G23),"")</f>
      </c>
      <c r="I23" s="23">
        <f>IF(H23="","",MAX(0,ROUND((H23-$G$6/24)*1440,0)/1440))</f>
      </c>
      <c r="J23" s="24">
        <f>IF(AND(ISNUMBER(C23),NOT(ISNUMBER(F23))),"Falta la salida",IF(AND(ISNUMBER(F23),NOT(ISNUMBER(C23))),"Falta el ingreso",IF(AND(ISNUMBER(G23),G23&gt;0,G23&lt;45/1440),"Refrigerio menor a 45 min","")))</f>
      </c>
      <c r="K23" s="25"/>
      <c r="L23" s="25"/>
    </row>
    <row r="24" ht="20" customHeight="1" spans="1:12" x14ac:dyDescent="0.25">
      <c r="A24" s="20">
        <f>IF($N$4+15&lt;$N$5,$N$4+15,"")</f>
      </c>
      <c r="B24" s="21">
        <f>IF(A24="","",INDEX(Listas!$A$2:$A$8,WEEKDAY(A24))&amp;IF(COUNTIF(Feriados!$A$6:$A$49,A24)&gt;0," · feriado",""))</f>
      </c>
      <c r="C24" s="22"/>
      <c r="D24" s="22"/>
      <c r="E24" s="22"/>
      <c r="F24" s="22"/>
      <c r="G24" s="23">
        <f>IF(AND(ISNUMBER(D24),ISNUMBER(E24)),ROUND(MOD(E24-D24,1)*1440,0)/1440,"")</f>
      </c>
      <c r="H24" s="23">
        <f>IF(AND(ISNUMBER(C24),ISNUMBER(F24)),ROUND(MOD(F24-C24,1)*1440,0)/1440-N(G24),"")</f>
      </c>
      <c r="I24" s="23">
        <f>IF(H24="","",MAX(0,ROUND((H24-$G$6/24)*1440,0)/1440))</f>
      </c>
      <c r="J24" s="24">
        <f>IF(AND(ISNUMBER(C24),NOT(ISNUMBER(F24))),"Falta la salida",IF(AND(ISNUMBER(F24),NOT(ISNUMBER(C24))),"Falta el ingreso",IF(AND(ISNUMBER(G24),G24&gt;0,G24&lt;45/1440),"Refrigerio menor a 45 min","")))</f>
      </c>
      <c r="K24" s="25"/>
      <c r="L24" s="25"/>
    </row>
    <row r="25" ht="20" customHeight="1" spans="1:12" x14ac:dyDescent="0.25">
      <c r="A25" s="20">
        <f>IF($N$4+16&lt;$N$5,$N$4+16,"")</f>
      </c>
      <c r="B25" s="21">
        <f>IF(A25="","",INDEX(Listas!$A$2:$A$8,WEEKDAY(A25))&amp;IF(COUNTIF(Feriados!$A$6:$A$49,A25)&gt;0," · feriado",""))</f>
      </c>
      <c r="C25" s="22"/>
      <c r="D25" s="22"/>
      <c r="E25" s="22"/>
      <c r="F25" s="22"/>
      <c r="G25" s="23">
        <f>IF(AND(ISNUMBER(D25),ISNUMBER(E25)),ROUND(MOD(E25-D25,1)*1440,0)/1440,"")</f>
      </c>
      <c r="H25" s="23">
        <f>IF(AND(ISNUMBER(C25),ISNUMBER(F25)),ROUND(MOD(F25-C25,1)*1440,0)/1440-N(G25),"")</f>
      </c>
      <c r="I25" s="23">
        <f>IF(H25="","",MAX(0,ROUND((H25-$G$6/24)*1440,0)/1440))</f>
      </c>
      <c r="J25" s="24">
        <f>IF(AND(ISNUMBER(C25),NOT(ISNUMBER(F25))),"Falta la salida",IF(AND(ISNUMBER(F25),NOT(ISNUMBER(C25))),"Falta el ingreso",IF(AND(ISNUMBER(G25),G25&gt;0,G25&lt;45/1440),"Refrigerio menor a 45 min","")))</f>
      </c>
      <c r="K25" s="25"/>
      <c r="L25" s="25"/>
    </row>
    <row r="26" ht="20" customHeight="1" spans="1:12" x14ac:dyDescent="0.25">
      <c r="A26" s="20">
        <f>IF($N$4+17&lt;$N$5,$N$4+17,"")</f>
      </c>
      <c r="B26" s="21">
        <f>IF(A26="","",INDEX(Listas!$A$2:$A$8,WEEKDAY(A26))&amp;IF(COUNTIF(Feriados!$A$6:$A$49,A26)&gt;0," · feriado",""))</f>
      </c>
      <c r="C26" s="22"/>
      <c r="D26" s="22"/>
      <c r="E26" s="22"/>
      <c r="F26" s="22"/>
      <c r="G26" s="23">
        <f>IF(AND(ISNUMBER(D26),ISNUMBER(E26)),ROUND(MOD(E26-D26,1)*1440,0)/1440,"")</f>
      </c>
      <c r="H26" s="23">
        <f>IF(AND(ISNUMBER(C26),ISNUMBER(F26)),ROUND(MOD(F26-C26,1)*1440,0)/1440-N(G26),"")</f>
      </c>
      <c r="I26" s="23">
        <f>IF(H26="","",MAX(0,ROUND((H26-$G$6/24)*1440,0)/1440))</f>
      </c>
      <c r="J26" s="24">
        <f>IF(AND(ISNUMBER(C26),NOT(ISNUMBER(F26))),"Falta la salida",IF(AND(ISNUMBER(F26),NOT(ISNUMBER(C26))),"Falta el ingreso",IF(AND(ISNUMBER(G26),G26&gt;0,G26&lt;45/1440),"Refrigerio menor a 45 min","")))</f>
      </c>
      <c r="K26" s="25"/>
      <c r="L26" s="25"/>
    </row>
    <row r="27" ht="20" customHeight="1" spans="1:12" x14ac:dyDescent="0.25">
      <c r="A27" s="20">
        <f>IF($N$4+18&lt;$N$5,$N$4+18,"")</f>
      </c>
      <c r="B27" s="21">
        <f>IF(A27="","",INDEX(Listas!$A$2:$A$8,WEEKDAY(A27))&amp;IF(COUNTIF(Feriados!$A$6:$A$49,A27)&gt;0," · feriado",""))</f>
      </c>
      <c r="C27" s="22"/>
      <c r="D27" s="22"/>
      <c r="E27" s="22"/>
      <c r="F27" s="22"/>
      <c r="G27" s="23">
        <f>IF(AND(ISNUMBER(D27),ISNUMBER(E27)),ROUND(MOD(E27-D27,1)*1440,0)/1440,"")</f>
      </c>
      <c r="H27" s="23">
        <f>IF(AND(ISNUMBER(C27),ISNUMBER(F27)),ROUND(MOD(F27-C27,1)*1440,0)/1440-N(G27),"")</f>
      </c>
      <c r="I27" s="23">
        <f>IF(H27="","",MAX(0,ROUND((H27-$G$6/24)*1440,0)/1440))</f>
      </c>
      <c r="J27" s="24">
        <f>IF(AND(ISNUMBER(C27),NOT(ISNUMBER(F27))),"Falta la salida",IF(AND(ISNUMBER(F27),NOT(ISNUMBER(C27))),"Falta el ingreso",IF(AND(ISNUMBER(G27),G27&gt;0,G27&lt;45/1440),"Refrigerio menor a 45 min","")))</f>
      </c>
      <c r="K27" s="25"/>
      <c r="L27" s="25"/>
    </row>
    <row r="28" ht="20" customHeight="1" spans="1:12" x14ac:dyDescent="0.25">
      <c r="A28" s="20">
        <f>IF($N$4+19&lt;$N$5,$N$4+19,"")</f>
      </c>
      <c r="B28" s="21">
        <f>IF(A28="","",INDEX(Listas!$A$2:$A$8,WEEKDAY(A28))&amp;IF(COUNTIF(Feriados!$A$6:$A$49,A28)&gt;0," · feriado",""))</f>
      </c>
      <c r="C28" s="22"/>
      <c r="D28" s="22"/>
      <c r="E28" s="22"/>
      <c r="F28" s="22"/>
      <c r="G28" s="23">
        <f>IF(AND(ISNUMBER(D28),ISNUMBER(E28)),ROUND(MOD(E28-D28,1)*1440,0)/1440,"")</f>
      </c>
      <c r="H28" s="23">
        <f>IF(AND(ISNUMBER(C28),ISNUMBER(F28)),ROUND(MOD(F28-C28,1)*1440,0)/1440-N(G28),"")</f>
      </c>
      <c r="I28" s="23">
        <f>IF(H28="","",MAX(0,ROUND((H28-$G$6/24)*1440,0)/1440))</f>
      </c>
      <c r="J28" s="24">
        <f>IF(AND(ISNUMBER(C28),NOT(ISNUMBER(F28))),"Falta la salida",IF(AND(ISNUMBER(F28),NOT(ISNUMBER(C28))),"Falta el ingreso",IF(AND(ISNUMBER(G28),G28&gt;0,G28&lt;45/1440),"Refrigerio menor a 45 min","")))</f>
      </c>
      <c r="K28" s="25"/>
      <c r="L28" s="25"/>
    </row>
    <row r="29" ht="20" customHeight="1" spans="1:12" x14ac:dyDescent="0.25">
      <c r="A29" s="20">
        <f>IF($N$4+20&lt;$N$5,$N$4+20,"")</f>
      </c>
      <c r="B29" s="21">
        <f>IF(A29="","",INDEX(Listas!$A$2:$A$8,WEEKDAY(A29))&amp;IF(COUNTIF(Feriados!$A$6:$A$49,A29)&gt;0," · feriado",""))</f>
      </c>
      <c r="C29" s="22"/>
      <c r="D29" s="22"/>
      <c r="E29" s="22"/>
      <c r="F29" s="22"/>
      <c r="G29" s="23">
        <f>IF(AND(ISNUMBER(D29),ISNUMBER(E29)),ROUND(MOD(E29-D29,1)*1440,0)/1440,"")</f>
      </c>
      <c r="H29" s="23">
        <f>IF(AND(ISNUMBER(C29),ISNUMBER(F29)),ROUND(MOD(F29-C29,1)*1440,0)/1440-N(G29),"")</f>
      </c>
      <c r="I29" s="23">
        <f>IF(H29="","",MAX(0,ROUND((H29-$G$6/24)*1440,0)/1440))</f>
      </c>
      <c r="J29" s="24">
        <f>IF(AND(ISNUMBER(C29),NOT(ISNUMBER(F29))),"Falta la salida",IF(AND(ISNUMBER(F29),NOT(ISNUMBER(C29))),"Falta el ingreso",IF(AND(ISNUMBER(G29),G29&gt;0,G29&lt;45/1440),"Refrigerio menor a 45 min","")))</f>
      </c>
      <c r="K29" s="25"/>
      <c r="L29" s="25"/>
    </row>
    <row r="30" ht="20" customHeight="1" spans="1:12" x14ac:dyDescent="0.25">
      <c r="A30" s="20">
        <f>IF($N$4+21&lt;$N$5,$N$4+21,"")</f>
      </c>
      <c r="B30" s="21">
        <f>IF(A30="","",INDEX(Listas!$A$2:$A$8,WEEKDAY(A30))&amp;IF(COUNTIF(Feriados!$A$6:$A$49,A30)&gt;0," · feriado",""))</f>
      </c>
      <c r="C30" s="22"/>
      <c r="D30" s="22"/>
      <c r="E30" s="22"/>
      <c r="F30" s="22"/>
      <c r="G30" s="23">
        <f>IF(AND(ISNUMBER(D30),ISNUMBER(E30)),ROUND(MOD(E30-D30,1)*1440,0)/1440,"")</f>
      </c>
      <c r="H30" s="23">
        <f>IF(AND(ISNUMBER(C30),ISNUMBER(F30)),ROUND(MOD(F30-C30,1)*1440,0)/1440-N(G30),"")</f>
      </c>
      <c r="I30" s="23">
        <f>IF(H30="","",MAX(0,ROUND((H30-$G$6/24)*1440,0)/1440))</f>
      </c>
      <c r="J30" s="24">
        <f>IF(AND(ISNUMBER(C30),NOT(ISNUMBER(F30))),"Falta la salida",IF(AND(ISNUMBER(F30),NOT(ISNUMBER(C30))),"Falta el ingreso",IF(AND(ISNUMBER(G30),G30&gt;0,G30&lt;45/1440),"Refrigerio menor a 45 min","")))</f>
      </c>
      <c r="K30" s="25"/>
      <c r="L30" s="25"/>
    </row>
    <row r="31" ht="20" customHeight="1" spans="1:12" x14ac:dyDescent="0.25">
      <c r="A31" s="20">
        <f>IF($N$4+22&lt;$N$5,$N$4+22,"")</f>
      </c>
      <c r="B31" s="21">
        <f>IF(A31="","",INDEX(Listas!$A$2:$A$8,WEEKDAY(A31))&amp;IF(COUNTIF(Feriados!$A$6:$A$49,A31)&gt;0," · feriado",""))</f>
      </c>
      <c r="C31" s="22"/>
      <c r="D31" s="22"/>
      <c r="E31" s="22"/>
      <c r="F31" s="22"/>
      <c r="G31" s="23">
        <f>IF(AND(ISNUMBER(D31),ISNUMBER(E31)),ROUND(MOD(E31-D31,1)*1440,0)/1440,"")</f>
      </c>
      <c r="H31" s="23">
        <f>IF(AND(ISNUMBER(C31),ISNUMBER(F31)),ROUND(MOD(F31-C31,1)*1440,0)/1440-N(G31),"")</f>
      </c>
      <c r="I31" s="23">
        <f>IF(H31="","",MAX(0,ROUND((H31-$G$6/24)*1440,0)/1440))</f>
      </c>
      <c r="J31" s="24">
        <f>IF(AND(ISNUMBER(C31),NOT(ISNUMBER(F31))),"Falta la salida",IF(AND(ISNUMBER(F31),NOT(ISNUMBER(C31))),"Falta el ingreso",IF(AND(ISNUMBER(G31),G31&gt;0,G31&lt;45/1440),"Refrigerio menor a 45 min","")))</f>
      </c>
      <c r="K31" s="25"/>
      <c r="L31" s="25"/>
    </row>
    <row r="32" ht="20" customHeight="1" spans="1:12" x14ac:dyDescent="0.25">
      <c r="A32" s="20">
        <f>IF($N$4+23&lt;$N$5,$N$4+23,"")</f>
      </c>
      <c r="B32" s="21">
        <f>IF(A32="","",INDEX(Listas!$A$2:$A$8,WEEKDAY(A32))&amp;IF(COUNTIF(Feriados!$A$6:$A$49,A32)&gt;0," · feriado",""))</f>
      </c>
      <c r="C32" s="22"/>
      <c r="D32" s="22"/>
      <c r="E32" s="22"/>
      <c r="F32" s="22"/>
      <c r="G32" s="23">
        <f>IF(AND(ISNUMBER(D32),ISNUMBER(E32)),ROUND(MOD(E32-D32,1)*1440,0)/1440,"")</f>
      </c>
      <c r="H32" s="23">
        <f>IF(AND(ISNUMBER(C32),ISNUMBER(F32)),ROUND(MOD(F32-C32,1)*1440,0)/1440-N(G32),"")</f>
      </c>
      <c r="I32" s="23">
        <f>IF(H32="","",MAX(0,ROUND((H32-$G$6/24)*1440,0)/1440))</f>
      </c>
      <c r="J32" s="24">
        <f>IF(AND(ISNUMBER(C32),NOT(ISNUMBER(F32))),"Falta la salida",IF(AND(ISNUMBER(F32),NOT(ISNUMBER(C32))),"Falta el ingreso",IF(AND(ISNUMBER(G32),G32&gt;0,G32&lt;45/1440),"Refrigerio menor a 45 min","")))</f>
      </c>
      <c r="K32" s="25"/>
      <c r="L32" s="25"/>
    </row>
    <row r="33" ht="20" customHeight="1" spans="1:12" x14ac:dyDescent="0.25">
      <c r="A33" s="20">
        <f>IF($N$4+24&lt;$N$5,$N$4+24,"")</f>
      </c>
      <c r="B33" s="21">
        <f>IF(A33="","",INDEX(Listas!$A$2:$A$8,WEEKDAY(A33))&amp;IF(COUNTIF(Feriados!$A$6:$A$49,A33)&gt;0," · feriado",""))</f>
      </c>
      <c r="C33" s="22"/>
      <c r="D33" s="22"/>
      <c r="E33" s="22"/>
      <c r="F33" s="22"/>
      <c r="G33" s="23">
        <f>IF(AND(ISNUMBER(D33),ISNUMBER(E33)),ROUND(MOD(E33-D33,1)*1440,0)/1440,"")</f>
      </c>
      <c r="H33" s="23">
        <f>IF(AND(ISNUMBER(C33),ISNUMBER(F33)),ROUND(MOD(F33-C33,1)*1440,0)/1440-N(G33),"")</f>
      </c>
      <c r="I33" s="23">
        <f>IF(H33="","",MAX(0,ROUND((H33-$G$6/24)*1440,0)/1440))</f>
      </c>
      <c r="J33" s="24">
        <f>IF(AND(ISNUMBER(C33),NOT(ISNUMBER(F33))),"Falta la salida",IF(AND(ISNUMBER(F33),NOT(ISNUMBER(C33))),"Falta el ingreso",IF(AND(ISNUMBER(G33),G33&gt;0,G33&lt;45/1440),"Refrigerio menor a 45 min","")))</f>
      </c>
      <c r="K33" s="25"/>
      <c r="L33" s="25"/>
    </row>
    <row r="34" ht="20" customHeight="1" spans="1:12" x14ac:dyDescent="0.25">
      <c r="A34" s="20">
        <f>IF($N$4+25&lt;$N$5,$N$4+25,"")</f>
      </c>
      <c r="B34" s="21">
        <f>IF(A34="","",INDEX(Listas!$A$2:$A$8,WEEKDAY(A34))&amp;IF(COUNTIF(Feriados!$A$6:$A$49,A34)&gt;0," · feriado",""))</f>
      </c>
      <c r="C34" s="22"/>
      <c r="D34" s="22"/>
      <c r="E34" s="22"/>
      <c r="F34" s="22"/>
      <c r="G34" s="23">
        <f>IF(AND(ISNUMBER(D34),ISNUMBER(E34)),ROUND(MOD(E34-D34,1)*1440,0)/1440,"")</f>
      </c>
      <c r="H34" s="23">
        <f>IF(AND(ISNUMBER(C34),ISNUMBER(F34)),ROUND(MOD(F34-C34,1)*1440,0)/1440-N(G34),"")</f>
      </c>
      <c r="I34" s="23">
        <f>IF(H34="","",MAX(0,ROUND((H34-$G$6/24)*1440,0)/1440))</f>
      </c>
      <c r="J34" s="24">
        <f>IF(AND(ISNUMBER(C34),NOT(ISNUMBER(F34))),"Falta la salida",IF(AND(ISNUMBER(F34),NOT(ISNUMBER(C34))),"Falta el ingreso",IF(AND(ISNUMBER(G34),G34&gt;0,G34&lt;45/1440),"Refrigerio menor a 45 min","")))</f>
      </c>
      <c r="K34" s="25"/>
      <c r="L34" s="25"/>
    </row>
    <row r="35" ht="20" customHeight="1" spans="1:12" x14ac:dyDescent="0.25">
      <c r="A35" s="20">
        <f>IF($N$4+26&lt;$N$5,$N$4+26,"")</f>
      </c>
      <c r="B35" s="21">
        <f>IF(A35="","",INDEX(Listas!$A$2:$A$8,WEEKDAY(A35))&amp;IF(COUNTIF(Feriados!$A$6:$A$49,A35)&gt;0," · feriado",""))</f>
      </c>
      <c r="C35" s="22"/>
      <c r="D35" s="22"/>
      <c r="E35" s="22"/>
      <c r="F35" s="22"/>
      <c r="G35" s="23">
        <f>IF(AND(ISNUMBER(D35),ISNUMBER(E35)),ROUND(MOD(E35-D35,1)*1440,0)/1440,"")</f>
      </c>
      <c r="H35" s="23">
        <f>IF(AND(ISNUMBER(C35),ISNUMBER(F35)),ROUND(MOD(F35-C35,1)*1440,0)/1440-N(G35),"")</f>
      </c>
      <c r="I35" s="23">
        <f>IF(H35="","",MAX(0,ROUND((H35-$G$6/24)*1440,0)/1440))</f>
      </c>
      <c r="J35" s="24">
        <f>IF(AND(ISNUMBER(C35),NOT(ISNUMBER(F35))),"Falta la salida",IF(AND(ISNUMBER(F35),NOT(ISNUMBER(C35))),"Falta el ingreso",IF(AND(ISNUMBER(G35),G35&gt;0,G35&lt;45/1440),"Refrigerio menor a 45 min","")))</f>
      </c>
      <c r="K35" s="25"/>
      <c r="L35" s="25"/>
    </row>
    <row r="36" ht="20" customHeight="1" spans="1:12" x14ac:dyDescent="0.25">
      <c r="A36" s="20">
        <f>IF($N$4+27&lt;$N$5,$N$4+27,"")</f>
      </c>
      <c r="B36" s="21">
        <f>IF(A36="","",INDEX(Listas!$A$2:$A$8,WEEKDAY(A36))&amp;IF(COUNTIF(Feriados!$A$6:$A$49,A36)&gt;0," · feriado",""))</f>
      </c>
      <c r="C36" s="22"/>
      <c r="D36" s="22"/>
      <c r="E36" s="22"/>
      <c r="F36" s="22"/>
      <c r="G36" s="23">
        <f>IF(AND(ISNUMBER(D36),ISNUMBER(E36)),ROUND(MOD(E36-D36,1)*1440,0)/1440,"")</f>
      </c>
      <c r="H36" s="23">
        <f>IF(AND(ISNUMBER(C36),ISNUMBER(F36)),ROUND(MOD(F36-C36,1)*1440,0)/1440-N(G36),"")</f>
      </c>
      <c r="I36" s="23">
        <f>IF(H36="","",MAX(0,ROUND((H36-$G$6/24)*1440,0)/1440))</f>
      </c>
      <c r="J36" s="24">
        <f>IF(AND(ISNUMBER(C36),NOT(ISNUMBER(F36))),"Falta la salida",IF(AND(ISNUMBER(F36),NOT(ISNUMBER(C36))),"Falta el ingreso",IF(AND(ISNUMBER(G36),G36&gt;0,G36&lt;45/1440),"Refrigerio menor a 45 min","")))</f>
      </c>
      <c r="K36" s="25"/>
      <c r="L36" s="25"/>
    </row>
    <row r="37" ht="20" customHeight="1" spans="1:12" x14ac:dyDescent="0.25">
      <c r="A37" s="20">
        <f>IF($N$4+28&lt;$N$5,$N$4+28,"")</f>
      </c>
      <c r="B37" s="21">
        <f>IF(A37="","",INDEX(Listas!$A$2:$A$8,WEEKDAY(A37))&amp;IF(COUNTIF(Feriados!$A$6:$A$49,A37)&gt;0," · feriado",""))</f>
      </c>
      <c r="C37" s="22"/>
      <c r="D37" s="22"/>
      <c r="E37" s="22"/>
      <c r="F37" s="22"/>
      <c r="G37" s="23">
        <f>IF(AND(ISNUMBER(D37),ISNUMBER(E37)),ROUND(MOD(E37-D37,1)*1440,0)/1440,"")</f>
      </c>
      <c r="H37" s="23">
        <f>IF(AND(ISNUMBER(C37),ISNUMBER(F37)),ROUND(MOD(F37-C37,1)*1440,0)/1440-N(G37),"")</f>
      </c>
      <c r="I37" s="23">
        <f>IF(H37="","",MAX(0,ROUND((H37-$G$6/24)*1440,0)/1440))</f>
      </c>
      <c r="J37" s="24">
        <f>IF(AND(ISNUMBER(C37),NOT(ISNUMBER(F37))),"Falta la salida",IF(AND(ISNUMBER(F37),NOT(ISNUMBER(C37))),"Falta el ingreso",IF(AND(ISNUMBER(G37),G37&gt;0,G37&lt;45/1440),"Refrigerio menor a 45 min","")))</f>
      </c>
      <c r="K37" s="25"/>
      <c r="L37" s="25"/>
    </row>
    <row r="38" ht="20" customHeight="1" spans="1:12" x14ac:dyDescent="0.25">
      <c r="A38" s="20">
        <f>IF($N$4+29&lt;$N$5,$N$4+29,"")</f>
      </c>
      <c r="B38" s="21">
        <f>IF(A38="","",INDEX(Listas!$A$2:$A$8,WEEKDAY(A38))&amp;IF(COUNTIF(Feriados!$A$6:$A$49,A38)&gt;0," · feriado",""))</f>
      </c>
      <c r="C38" s="22"/>
      <c r="D38" s="22"/>
      <c r="E38" s="22"/>
      <c r="F38" s="22"/>
      <c r="G38" s="23">
        <f>IF(AND(ISNUMBER(D38),ISNUMBER(E38)),ROUND(MOD(E38-D38,1)*1440,0)/1440,"")</f>
      </c>
      <c r="H38" s="23">
        <f>IF(AND(ISNUMBER(C38),ISNUMBER(F38)),ROUND(MOD(F38-C38,1)*1440,0)/1440-N(G38),"")</f>
      </c>
      <c r="I38" s="23">
        <f>IF(H38="","",MAX(0,ROUND((H38-$G$6/24)*1440,0)/1440))</f>
      </c>
      <c r="J38" s="24">
        <f>IF(AND(ISNUMBER(C38),NOT(ISNUMBER(F38))),"Falta la salida",IF(AND(ISNUMBER(F38),NOT(ISNUMBER(C38))),"Falta el ingreso",IF(AND(ISNUMBER(G38),G38&gt;0,G38&lt;45/1440),"Refrigerio menor a 45 min","")))</f>
      </c>
      <c r="K38" s="25"/>
      <c r="L38" s="25"/>
    </row>
    <row r="39" ht="20" customHeight="1" spans="1:12" x14ac:dyDescent="0.25">
      <c r="A39" s="20">
        <f>IF($N$4+30&lt;$N$5,$N$4+30,"")</f>
      </c>
      <c r="B39" s="21">
        <f>IF(A39="","",INDEX(Listas!$A$2:$A$8,WEEKDAY(A39))&amp;IF(COUNTIF(Feriados!$A$6:$A$49,A39)&gt;0," · feriado",""))</f>
      </c>
      <c r="C39" s="22"/>
      <c r="D39" s="22"/>
      <c r="E39" s="22"/>
      <c r="F39" s="22"/>
      <c r="G39" s="23">
        <f>IF(AND(ISNUMBER(D39),ISNUMBER(E39)),ROUND(MOD(E39-D39,1)*1440,0)/1440,"")</f>
      </c>
      <c r="H39" s="23">
        <f>IF(AND(ISNUMBER(C39),ISNUMBER(F39)),ROUND(MOD(F39-C39,1)*1440,0)/1440-N(G39),"")</f>
      </c>
      <c r="I39" s="23">
        <f>IF(H39="","",MAX(0,ROUND((H39-$G$6/24)*1440,0)/1440))</f>
      </c>
      <c r="J39" s="24">
        <f>IF(AND(ISNUMBER(C39),NOT(ISNUMBER(F39))),"Falta la salida",IF(AND(ISNUMBER(F39),NOT(ISNUMBER(C39))),"Falta el ingreso",IF(AND(ISNUMBER(G39),G39&gt;0,G39&lt;45/1440),"Refrigerio menor a 45 min","")))</f>
      </c>
      <c r="K39" s="25"/>
      <c r="L39" s="25"/>
    </row>
    <row r="40" spans="7:9" x14ac:dyDescent="0.25">
      <c r="G40" s="16" t="s">
        <v>50</v>
      </c>
      <c r="H40" s="26">
        <f>SUM(H9:H39)</f>
      </c>
      <c r="I40" s="26">
        <f>SUM(I9:I39)</f>
      </c>
    </row>
    <row r="42" spans="1:1" x14ac:dyDescent="0.25">
      <c r="A42" s="6" t="s">
        <v>17</v>
      </c>
    </row>
    <row r="43" spans="1:1" x14ac:dyDescent="0.25">
      <c r="A43" s="7" t="s">
        <v>18</v>
      </c>
    </row>
    <row r="44" spans="1:1" x14ac:dyDescent="0.25">
      <c r="A44" s="8" t="s">
        <v>19</v>
      </c>
    </row>
    <row r="45" spans="1:1" x14ac:dyDescent="0.25">
      <c r="A45" s="7" t="s">
        <v>20</v>
      </c>
    </row>
  </sheetData>
  <mergeCells count="7">
    <mergeCell ref="A1:L1"/>
    <mergeCell ref="A2:L2"/>
    <mergeCell ref="A3:L3"/>
    <mergeCell ref="B4:E4"/>
    <mergeCell ref="G4:I4"/>
    <mergeCell ref="B5:E5"/>
    <mergeCell ref="G5:I5"/>
  </mergeCells>
  <conditionalFormatting sqref="A9:B39">
    <cfRule type="expression" dxfId="3" priority="1">
      <formula>RIGHT($B9,7)="feriado"</formula>
    </cfRule>
  </conditionalFormatting>
  <hyperlinks>
    <hyperlink ref="A44" r:id="rId1"/>
  </hyperlinks>
  <pageSetup paperSize="9" orientation="landscape" fitToWidth="1" fitToHeight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1" customWidth="1"/>
    <col min="4" max="5" width="13" customWidth="1"/>
    <col min="6" max="6" width="11" customWidth="1"/>
    <col min="7" max="8" width="12" customWidth="1"/>
    <col min="9" max="9" width="13" customWidth="1"/>
    <col min="10" max="10" width="24" customWidth="1"/>
    <col min="11" max="11" width="30" customWidth="1"/>
    <col min="12" max="12" width="22" customWidth="1"/>
    <col min="13" max="13" width="4" customWidth="1"/>
    <col min="14" max="14" width="12" hidden="1" customWidth="1"/>
  </cols>
  <sheetData>
    <row r="1" ht="3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 spans="1:12" x14ac:dyDescent="0.25">
      <c r="A2" s="2" t="s">
        <v>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2" customHeight="1" spans="1:12" x14ac:dyDescent="0.25">
      <c r="A3" s="9" t="s">
        <v>31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x14ac:dyDescent="0.25">
      <c r="A4" s="10" t="s">
        <v>32</v>
      </c>
      <c r="B4" s="14">
        <f>IF(Datos!$B$5="","",Datos!$B$5)</f>
      </c>
      <c r="C4" s="14"/>
      <c r="D4" s="14"/>
      <c r="E4" s="14"/>
      <c r="F4" s="10" t="s">
        <v>33</v>
      </c>
      <c r="G4" s="14">
        <f>IF(Datos!$B$6="","",Datos!$B$6)</f>
      </c>
      <c r="H4" s="14"/>
      <c r="I4" s="14"/>
      <c r="N4" s="15">
        <f>INDEX(Listas!$C$2:$C$62,($D$6-2026)*12+5)</f>
      </c>
    </row>
    <row r="5" spans="1:14" x14ac:dyDescent="0.25">
      <c r="A5" s="10" t="s">
        <v>34</v>
      </c>
      <c r="B5" s="14">
        <f>IF(Datos!$B$7="","",Datos!$B$7)</f>
      </c>
      <c r="C5" s="14"/>
      <c r="D5" s="14"/>
      <c r="E5" s="14"/>
      <c r="F5" s="10" t="s">
        <v>35</v>
      </c>
      <c r="G5" s="14">
        <f>IF(Datos!$B$8="","",Datos!$B$8)</f>
      </c>
      <c r="H5" s="14"/>
      <c r="I5" s="14"/>
      <c r="N5" s="15">
        <f>INDEX(Listas!$C$2:$C$62,($D$6-2026)*12+6)</f>
      </c>
    </row>
    <row r="6" spans="1:7" x14ac:dyDescent="0.25">
      <c r="A6" s="10" t="s">
        <v>36</v>
      </c>
      <c r="B6" s="16" t="s">
        <v>58</v>
      </c>
      <c r="C6" s="10" t="s">
        <v>38</v>
      </c>
      <c r="D6" s="17">
        <f>Datos!$B$10</f>
      </c>
      <c r="F6" s="10" t="s">
        <v>39</v>
      </c>
      <c r="G6" s="18">
        <f>Datos!$B$9</f>
      </c>
    </row>
    <row r="8" ht="42" customHeight="1" spans="1:12" x14ac:dyDescent="0.25">
      <c r="A8" s="19" t="s">
        <v>40</v>
      </c>
      <c r="B8" s="19" t="s">
        <v>41</v>
      </c>
      <c r="C8" s="19" t="s">
        <v>42</v>
      </c>
      <c r="D8" s="19" t="s">
        <v>43</v>
      </c>
      <c r="E8" s="19" t="s">
        <v>44</v>
      </c>
      <c r="F8" s="19" t="s">
        <v>45</v>
      </c>
      <c r="G8" s="19" t="s">
        <v>9</v>
      </c>
      <c r="H8" s="19" t="s">
        <v>46</v>
      </c>
      <c r="I8" s="19" t="s">
        <v>11</v>
      </c>
      <c r="J8" s="19" t="s">
        <v>47</v>
      </c>
      <c r="K8" s="19" t="s">
        <v>48</v>
      </c>
      <c r="L8" s="19" t="s">
        <v>49</v>
      </c>
    </row>
    <row r="9" ht="20" customHeight="1" spans="1:12" x14ac:dyDescent="0.25">
      <c r="A9" s="20">
        <f>IF($N$4+0&lt;$N$5,$N$4+0,"")</f>
      </c>
      <c r="B9" s="21">
        <f>IF(A9="","",INDEX(Listas!$A$2:$A$8,WEEKDAY(A9))&amp;IF(COUNTIF(Feriados!$A$6:$A$49,A9)&gt;0," · feriado",""))</f>
      </c>
      <c r="C9" s="22"/>
      <c r="D9" s="22"/>
      <c r="E9" s="22"/>
      <c r="F9" s="22"/>
      <c r="G9" s="23">
        <f>IF(AND(ISNUMBER(D9),ISNUMBER(E9)),ROUND(MOD(E9-D9,1)*1440,0)/1440,"")</f>
      </c>
      <c r="H9" s="23">
        <f>IF(AND(ISNUMBER(C9),ISNUMBER(F9)),ROUND(MOD(F9-C9,1)*1440,0)/1440-N(G9),"")</f>
      </c>
      <c r="I9" s="23">
        <f>IF(H9="","",MAX(0,ROUND((H9-$G$6/24)*1440,0)/1440))</f>
      </c>
      <c r="J9" s="24">
        <f>IF(AND(ISNUMBER(C9),NOT(ISNUMBER(F9))),"Falta la salida",IF(AND(ISNUMBER(F9),NOT(ISNUMBER(C9))),"Falta el ingreso",IF(AND(ISNUMBER(G9),G9&gt;0,G9&lt;45/1440),"Refrigerio menor a 45 min","")))</f>
      </c>
      <c r="K9" s="25"/>
      <c r="L9" s="25"/>
    </row>
    <row r="10" ht="20" customHeight="1" spans="1:12" x14ac:dyDescent="0.25">
      <c r="A10" s="20">
        <f>IF($N$4+1&lt;$N$5,$N$4+1,"")</f>
      </c>
      <c r="B10" s="21">
        <f>IF(A10="","",INDEX(Listas!$A$2:$A$8,WEEKDAY(A10))&amp;IF(COUNTIF(Feriados!$A$6:$A$49,A10)&gt;0," · feriado",""))</f>
      </c>
      <c r="C10" s="22"/>
      <c r="D10" s="22"/>
      <c r="E10" s="22"/>
      <c r="F10" s="22"/>
      <c r="G10" s="23">
        <f>IF(AND(ISNUMBER(D10),ISNUMBER(E10)),ROUND(MOD(E10-D10,1)*1440,0)/1440,"")</f>
      </c>
      <c r="H10" s="23">
        <f>IF(AND(ISNUMBER(C10),ISNUMBER(F10)),ROUND(MOD(F10-C10,1)*1440,0)/1440-N(G10),"")</f>
      </c>
      <c r="I10" s="23">
        <f>IF(H10="","",MAX(0,ROUND((H10-$G$6/24)*1440,0)/1440))</f>
      </c>
      <c r="J10" s="24">
        <f>IF(AND(ISNUMBER(C10),NOT(ISNUMBER(F10))),"Falta la salida",IF(AND(ISNUMBER(F10),NOT(ISNUMBER(C10))),"Falta el ingreso",IF(AND(ISNUMBER(G10),G10&gt;0,G10&lt;45/1440),"Refrigerio menor a 45 min","")))</f>
      </c>
      <c r="K10" s="25"/>
      <c r="L10" s="25"/>
    </row>
    <row r="11" ht="20" customHeight="1" spans="1:12" x14ac:dyDescent="0.25">
      <c r="A11" s="20">
        <f>IF($N$4+2&lt;$N$5,$N$4+2,"")</f>
      </c>
      <c r="B11" s="21">
        <f>IF(A11="","",INDEX(Listas!$A$2:$A$8,WEEKDAY(A11))&amp;IF(COUNTIF(Feriados!$A$6:$A$49,A11)&gt;0," · feriado",""))</f>
      </c>
      <c r="C11" s="22"/>
      <c r="D11" s="22"/>
      <c r="E11" s="22"/>
      <c r="F11" s="22"/>
      <c r="G11" s="23">
        <f>IF(AND(ISNUMBER(D11),ISNUMBER(E11)),ROUND(MOD(E11-D11,1)*1440,0)/1440,"")</f>
      </c>
      <c r="H11" s="23">
        <f>IF(AND(ISNUMBER(C11),ISNUMBER(F11)),ROUND(MOD(F11-C11,1)*1440,0)/1440-N(G11),"")</f>
      </c>
      <c r="I11" s="23">
        <f>IF(H11="","",MAX(0,ROUND((H11-$G$6/24)*1440,0)/1440))</f>
      </c>
      <c r="J11" s="24">
        <f>IF(AND(ISNUMBER(C11),NOT(ISNUMBER(F11))),"Falta la salida",IF(AND(ISNUMBER(F11),NOT(ISNUMBER(C11))),"Falta el ingreso",IF(AND(ISNUMBER(G11),G11&gt;0,G11&lt;45/1440),"Refrigerio menor a 45 min","")))</f>
      </c>
      <c r="K11" s="25"/>
      <c r="L11" s="25"/>
    </row>
    <row r="12" ht="20" customHeight="1" spans="1:12" x14ac:dyDescent="0.25">
      <c r="A12" s="20">
        <f>IF($N$4+3&lt;$N$5,$N$4+3,"")</f>
      </c>
      <c r="B12" s="21">
        <f>IF(A12="","",INDEX(Listas!$A$2:$A$8,WEEKDAY(A12))&amp;IF(COUNTIF(Feriados!$A$6:$A$49,A12)&gt;0," · feriado",""))</f>
      </c>
      <c r="C12" s="22"/>
      <c r="D12" s="22"/>
      <c r="E12" s="22"/>
      <c r="F12" s="22"/>
      <c r="G12" s="23">
        <f>IF(AND(ISNUMBER(D12),ISNUMBER(E12)),ROUND(MOD(E12-D12,1)*1440,0)/1440,"")</f>
      </c>
      <c r="H12" s="23">
        <f>IF(AND(ISNUMBER(C12),ISNUMBER(F12)),ROUND(MOD(F12-C12,1)*1440,0)/1440-N(G12),"")</f>
      </c>
      <c r="I12" s="23">
        <f>IF(H12="","",MAX(0,ROUND((H12-$G$6/24)*1440,0)/1440))</f>
      </c>
      <c r="J12" s="24">
        <f>IF(AND(ISNUMBER(C12),NOT(ISNUMBER(F12))),"Falta la salida",IF(AND(ISNUMBER(F12),NOT(ISNUMBER(C12))),"Falta el ingreso",IF(AND(ISNUMBER(G12),G12&gt;0,G12&lt;45/1440),"Refrigerio menor a 45 min","")))</f>
      </c>
      <c r="K12" s="25"/>
      <c r="L12" s="25"/>
    </row>
    <row r="13" ht="20" customHeight="1" spans="1:12" x14ac:dyDescent="0.25">
      <c r="A13" s="20">
        <f>IF($N$4+4&lt;$N$5,$N$4+4,"")</f>
      </c>
      <c r="B13" s="21">
        <f>IF(A13="","",INDEX(Listas!$A$2:$A$8,WEEKDAY(A13))&amp;IF(COUNTIF(Feriados!$A$6:$A$49,A13)&gt;0," · feriado",""))</f>
      </c>
      <c r="C13" s="22"/>
      <c r="D13" s="22"/>
      <c r="E13" s="22"/>
      <c r="F13" s="22"/>
      <c r="G13" s="23">
        <f>IF(AND(ISNUMBER(D13),ISNUMBER(E13)),ROUND(MOD(E13-D13,1)*1440,0)/1440,"")</f>
      </c>
      <c r="H13" s="23">
        <f>IF(AND(ISNUMBER(C13),ISNUMBER(F13)),ROUND(MOD(F13-C13,1)*1440,0)/1440-N(G13),"")</f>
      </c>
      <c r="I13" s="23">
        <f>IF(H13="","",MAX(0,ROUND((H13-$G$6/24)*1440,0)/1440))</f>
      </c>
      <c r="J13" s="24">
        <f>IF(AND(ISNUMBER(C13),NOT(ISNUMBER(F13))),"Falta la salida",IF(AND(ISNUMBER(F13),NOT(ISNUMBER(C13))),"Falta el ingreso",IF(AND(ISNUMBER(G13),G13&gt;0,G13&lt;45/1440),"Refrigerio menor a 45 min","")))</f>
      </c>
      <c r="K13" s="25"/>
      <c r="L13" s="25"/>
    </row>
    <row r="14" ht="20" customHeight="1" spans="1:12" x14ac:dyDescent="0.25">
      <c r="A14" s="20">
        <f>IF($N$4+5&lt;$N$5,$N$4+5,"")</f>
      </c>
      <c r="B14" s="21">
        <f>IF(A14="","",INDEX(Listas!$A$2:$A$8,WEEKDAY(A14))&amp;IF(COUNTIF(Feriados!$A$6:$A$49,A14)&gt;0," · feriado",""))</f>
      </c>
      <c r="C14" s="22"/>
      <c r="D14" s="22"/>
      <c r="E14" s="22"/>
      <c r="F14" s="22"/>
      <c r="G14" s="23">
        <f>IF(AND(ISNUMBER(D14),ISNUMBER(E14)),ROUND(MOD(E14-D14,1)*1440,0)/1440,"")</f>
      </c>
      <c r="H14" s="23">
        <f>IF(AND(ISNUMBER(C14),ISNUMBER(F14)),ROUND(MOD(F14-C14,1)*1440,0)/1440-N(G14),"")</f>
      </c>
      <c r="I14" s="23">
        <f>IF(H14="","",MAX(0,ROUND((H14-$G$6/24)*1440,0)/1440))</f>
      </c>
      <c r="J14" s="24">
        <f>IF(AND(ISNUMBER(C14),NOT(ISNUMBER(F14))),"Falta la salida",IF(AND(ISNUMBER(F14),NOT(ISNUMBER(C14))),"Falta el ingreso",IF(AND(ISNUMBER(G14),G14&gt;0,G14&lt;45/1440),"Refrigerio menor a 45 min","")))</f>
      </c>
      <c r="K14" s="25"/>
      <c r="L14" s="25"/>
    </row>
    <row r="15" ht="20" customHeight="1" spans="1:12" x14ac:dyDescent="0.25">
      <c r="A15" s="20">
        <f>IF($N$4+6&lt;$N$5,$N$4+6,"")</f>
      </c>
      <c r="B15" s="21">
        <f>IF(A15="","",INDEX(Listas!$A$2:$A$8,WEEKDAY(A15))&amp;IF(COUNTIF(Feriados!$A$6:$A$49,A15)&gt;0," · feriado",""))</f>
      </c>
      <c r="C15" s="22"/>
      <c r="D15" s="22"/>
      <c r="E15" s="22"/>
      <c r="F15" s="22"/>
      <c r="G15" s="23">
        <f>IF(AND(ISNUMBER(D15),ISNUMBER(E15)),ROUND(MOD(E15-D15,1)*1440,0)/1440,"")</f>
      </c>
      <c r="H15" s="23">
        <f>IF(AND(ISNUMBER(C15),ISNUMBER(F15)),ROUND(MOD(F15-C15,1)*1440,0)/1440-N(G15),"")</f>
      </c>
      <c r="I15" s="23">
        <f>IF(H15="","",MAX(0,ROUND((H15-$G$6/24)*1440,0)/1440))</f>
      </c>
      <c r="J15" s="24">
        <f>IF(AND(ISNUMBER(C15),NOT(ISNUMBER(F15))),"Falta la salida",IF(AND(ISNUMBER(F15),NOT(ISNUMBER(C15))),"Falta el ingreso",IF(AND(ISNUMBER(G15),G15&gt;0,G15&lt;45/1440),"Refrigerio menor a 45 min","")))</f>
      </c>
      <c r="K15" s="25"/>
      <c r="L15" s="25"/>
    </row>
    <row r="16" ht="20" customHeight="1" spans="1:12" x14ac:dyDescent="0.25">
      <c r="A16" s="20">
        <f>IF($N$4+7&lt;$N$5,$N$4+7,"")</f>
      </c>
      <c r="B16" s="21">
        <f>IF(A16="","",INDEX(Listas!$A$2:$A$8,WEEKDAY(A16))&amp;IF(COUNTIF(Feriados!$A$6:$A$49,A16)&gt;0," · feriado",""))</f>
      </c>
      <c r="C16" s="22"/>
      <c r="D16" s="22"/>
      <c r="E16" s="22"/>
      <c r="F16" s="22"/>
      <c r="G16" s="23">
        <f>IF(AND(ISNUMBER(D16),ISNUMBER(E16)),ROUND(MOD(E16-D16,1)*1440,0)/1440,"")</f>
      </c>
      <c r="H16" s="23">
        <f>IF(AND(ISNUMBER(C16),ISNUMBER(F16)),ROUND(MOD(F16-C16,1)*1440,0)/1440-N(G16),"")</f>
      </c>
      <c r="I16" s="23">
        <f>IF(H16="","",MAX(0,ROUND((H16-$G$6/24)*1440,0)/1440))</f>
      </c>
      <c r="J16" s="24">
        <f>IF(AND(ISNUMBER(C16),NOT(ISNUMBER(F16))),"Falta la salida",IF(AND(ISNUMBER(F16),NOT(ISNUMBER(C16))),"Falta el ingreso",IF(AND(ISNUMBER(G16),G16&gt;0,G16&lt;45/1440),"Refrigerio menor a 45 min","")))</f>
      </c>
      <c r="K16" s="25"/>
      <c r="L16" s="25"/>
    </row>
    <row r="17" ht="20" customHeight="1" spans="1:12" x14ac:dyDescent="0.25">
      <c r="A17" s="20">
        <f>IF($N$4+8&lt;$N$5,$N$4+8,"")</f>
      </c>
      <c r="B17" s="21">
        <f>IF(A17="","",INDEX(Listas!$A$2:$A$8,WEEKDAY(A17))&amp;IF(COUNTIF(Feriados!$A$6:$A$49,A17)&gt;0," · feriado",""))</f>
      </c>
      <c r="C17" s="22"/>
      <c r="D17" s="22"/>
      <c r="E17" s="22"/>
      <c r="F17" s="22"/>
      <c r="G17" s="23">
        <f>IF(AND(ISNUMBER(D17),ISNUMBER(E17)),ROUND(MOD(E17-D17,1)*1440,0)/1440,"")</f>
      </c>
      <c r="H17" s="23">
        <f>IF(AND(ISNUMBER(C17),ISNUMBER(F17)),ROUND(MOD(F17-C17,1)*1440,0)/1440-N(G17),"")</f>
      </c>
      <c r="I17" s="23">
        <f>IF(H17="","",MAX(0,ROUND((H17-$G$6/24)*1440,0)/1440))</f>
      </c>
      <c r="J17" s="24">
        <f>IF(AND(ISNUMBER(C17),NOT(ISNUMBER(F17))),"Falta la salida",IF(AND(ISNUMBER(F17),NOT(ISNUMBER(C17))),"Falta el ingreso",IF(AND(ISNUMBER(G17),G17&gt;0,G17&lt;45/1440),"Refrigerio menor a 45 min","")))</f>
      </c>
      <c r="K17" s="25"/>
      <c r="L17" s="25"/>
    </row>
    <row r="18" ht="20" customHeight="1" spans="1:12" x14ac:dyDescent="0.25">
      <c r="A18" s="20">
        <f>IF($N$4+9&lt;$N$5,$N$4+9,"")</f>
      </c>
      <c r="B18" s="21">
        <f>IF(A18="","",INDEX(Listas!$A$2:$A$8,WEEKDAY(A18))&amp;IF(COUNTIF(Feriados!$A$6:$A$49,A18)&gt;0," · feriado",""))</f>
      </c>
      <c r="C18" s="22"/>
      <c r="D18" s="22"/>
      <c r="E18" s="22"/>
      <c r="F18" s="22"/>
      <c r="G18" s="23">
        <f>IF(AND(ISNUMBER(D18),ISNUMBER(E18)),ROUND(MOD(E18-D18,1)*1440,0)/1440,"")</f>
      </c>
      <c r="H18" s="23">
        <f>IF(AND(ISNUMBER(C18),ISNUMBER(F18)),ROUND(MOD(F18-C18,1)*1440,0)/1440-N(G18),"")</f>
      </c>
      <c r="I18" s="23">
        <f>IF(H18="","",MAX(0,ROUND((H18-$G$6/24)*1440,0)/1440))</f>
      </c>
      <c r="J18" s="24">
        <f>IF(AND(ISNUMBER(C18),NOT(ISNUMBER(F18))),"Falta la salida",IF(AND(ISNUMBER(F18),NOT(ISNUMBER(C18))),"Falta el ingreso",IF(AND(ISNUMBER(G18),G18&gt;0,G18&lt;45/1440),"Refrigerio menor a 45 min","")))</f>
      </c>
      <c r="K18" s="25"/>
      <c r="L18" s="25"/>
    </row>
    <row r="19" ht="20" customHeight="1" spans="1:12" x14ac:dyDescent="0.25">
      <c r="A19" s="20">
        <f>IF($N$4+10&lt;$N$5,$N$4+10,"")</f>
      </c>
      <c r="B19" s="21">
        <f>IF(A19="","",INDEX(Listas!$A$2:$A$8,WEEKDAY(A19))&amp;IF(COUNTIF(Feriados!$A$6:$A$49,A19)&gt;0," · feriado",""))</f>
      </c>
      <c r="C19" s="22"/>
      <c r="D19" s="22"/>
      <c r="E19" s="22"/>
      <c r="F19" s="22"/>
      <c r="G19" s="23">
        <f>IF(AND(ISNUMBER(D19),ISNUMBER(E19)),ROUND(MOD(E19-D19,1)*1440,0)/1440,"")</f>
      </c>
      <c r="H19" s="23">
        <f>IF(AND(ISNUMBER(C19),ISNUMBER(F19)),ROUND(MOD(F19-C19,1)*1440,0)/1440-N(G19),"")</f>
      </c>
      <c r="I19" s="23">
        <f>IF(H19="","",MAX(0,ROUND((H19-$G$6/24)*1440,0)/1440))</f>
      </c>
      <c r="J19" s="24">
        <f>IF(AND(ISNUMBER(C19),NOT(ISNUMBER(F19))),"Falta la salida",IF(AND(ISNUMBER(F19),NOT(ISNUMBER(C19))),"Falta el ingreso",IF(AND(ISNUMBER(G19),G19&gt;0,G19&lt;45/1440),"Refrigerio menor a 45 min","")))</f>
      </c>
      <c r="K19" s="25"/>
      <c r="L19" s="25"/>
    </row>
    <row r="20" ht="20" customHeight="1" spans="1:12" x14ac:dyDescent="0.25">
      <c r="A20" s="20">
        <f>IF($N$4+11&lt;$N$5,$N$4+11,"")</f>
      </c>
      <c r="B20" s="21">
        <f>IF(A20="","",INDEX(Listas!$A$2:$A$8,WEEKDAY(A20))&amp;IF(COUNTIF(Feriados!$A$6:$A$49,A20)&gt;0," · feriado",""))</f>
      </c>
      <c r="C20" s="22"/>
      <c r="D20" s="22"/>
      <c r="E20" s="22"/>
      <c r="F20" s="22"/>
      <c r="G20" s="23">
        <f>IF(AND(ISNUMBER(D20),ISNUMBER(E20)),ROUND(MOD(E20-D20,1)*1440,0)/1440,"")</f>
      </c>
      <c r="H20" s="23">
        <f>IF(AND(ISNUMBER(C20),ISNUMBER(F20)),ROUND(MOD(F20-C20,1)*1440,0)/1440-N(G20),"")</f>
      </c>
      <c r="I20" s="23">
        <f>IF(H20="","",MAX(0,ROUND((H20-$G$6/24)*1440,0)/1440))</f>
      </c>
      <c r="J20" s="24">
        <f>IF(AND(ISNUMBER(C20),NOT(ISNUMBER(F20))),"Falta la salida",IF(AND(ISNUMBER(F20),NOT(ISNUMBER(C20))),"Falta el ingreso",IF(AND(ISNUMBER(G20),G20&gt;0,G20&lt;45/1440),"Refrigerio menor a 45 min","")))</f>
      </c>
      <c r="K20" s="25"/>
      <c r="L20" s="25"/>
    </row>
    <row r="21" ht="20" customHeight="1" spans="1:12" x14ac:dyDescent="0.25">
      <c r="A21" s="20">
        <f>IF($N$4+12&lt;$N$5,$N$4+12,"")</f>
      </c>
      <c r="B21" s="21">
        <f>IF(A21="","",INDEX(Listas!$A$2:$A$8,WEEKDAY(A21))&amp;IF(COUNTIF(Feriados!$A$6:$A$49,A21)&gt;0," · feriado",""))</f>
      </c>
      <c r="C21" s="22"/>
      <c r="D21" s="22"/>
      <c r="E21" s="22"/>
      <c r="F21" s="22"/>
      <c r="G21" s="23">
        <f>IF(AND(ISNUMBER(D21),ISNUMBER(E21)),ROUND(MOD(E21-D21,1)*1440,0)/1440,"")</f>
      </c>
      <c r="H21" s="23">
        <f>IF(AND(ISNUMBER(C21),ISNUMBER(F21)),ROUND(MOD(F21-C21,1)*1440,0)/1440-N(G21),"")</f>
      </c>
      <c r="I21" s="23">
        <f>IF(H21="","",MAX(0,ROUND((H21-$G$6/24)*1440,0)/1440))</f>
      </c>
      <c r="J21" s="24">
        <f>IF(AND(ISNUMBER(C21),NOT(ISNUMBER(F21))),"Falta la salida",IF(AND(ISNUMBER(F21),NOT(ISNUMBER(C21))),"Falta el ingreso",IF(AND(ISNUMBER(G21),G21&gt;0,G21&lt;45/1440),"Refrigerio menor a 45 min","")))</f>
      </c>
      <c r="K21" s="25"/>
      <c r="L21" s="25"/>
    </row>
    <row r="22" ht="20" customHeight="1" spans="1:12" x14ac:dyDescent="0.25">
      <c r="A22" s="20">
        <f>IF($N$4+13&lt;$N$5,$N$4+13,"")</f>
      </c>
      <c r="B22" s="21">
        <f>IF(A22="","",INDEX(Listas!$A$2:$A$8,WEEKDAY(A22))&amp;IF(COUNTIF(Feriados!$A$6:$A$49,A22)&gt;0," · feriado",""))</f>
      </c>
      <c r="C22" s="22"/>
      <c r="D22" s="22"/>
      <c r="E22" s="22"/>
      <c r="F22" s="22"/>
      <c r="G22" s="23">
        <f>IF(AND(ISNUMBER(D22),ISNUMBER(E22)),ROUND(MOD(E22-D22,1)*1440,0)/1440,"")</f>
      </c>
      <c r="H22" s="23">
        <f>IF(AND(ISNUMBER(C22),ISNUMBER(F22)),ROUND(MOD(F22-C22,1)*1440,0)/1440-N(G22),"")</f>
      </c>
      <c r="I22" s="23">
        <f>IF(H22="","",MAX(0,ROUND((H22-$G$6/24)*1440,0)/1440))</f>
      </c>
      <c r="J22" s="24">
        <f>IF(AND(ISNUMBER(C22),NOT(ISNUMBER(F22))),"Falta la salida",IF(AND(ISNUMBER(F22),NOT(ISNUMBER(C22))),"Falta el ingreso",IF(AND(ISNUMBER(G22),G22&gt;0,G22&lt;45/1440),"Refrigerio menor a 45 min","")))</f>
      </c>
      <c r="K22" s="25"/>
      <c r="L22" s="25"/>
    </row>
    <row r="23" ht="20" customHeight="1" spans="1:12" x14ac:dyDescent="0.25">
      <c r="A23" s="20">
        <f>IF($N$4+14&lt;$N$5,$N$4+14,"")</f>
      </c>
      <c r="B23" s="21">
        <f>IF(A23="","",INDEX(Listas!$A$2:$A$8,WEEKDAY(A23))&amp;IF(COUNTIF(Feriados!$A$6:$A$49,A23)&gt;0," · feriado",""))</f>
      </c>
      <c r="C23" s="22"/>
      <c r="D23" s="22"/>
      <c r="E23" s="22"/>
      <c r="F23" s="22"/>
      <c r="G23" s="23">
        <f>IF(AND(ISNUMBER(D23),ISNUMBER(E23)),ROUND(MOD(E23-D23,1)*1440,0)/1440,"")</f>
      </c>
      <c r="H23" s="23">
        <f>IF(AND(ISNUMBER(C23),ISNUMBER(F23)),ROUND(MOD(F23-C23,1)*1440,0)/1440-N(G23),"")</f>
      </c>
      <c r="I23" s="23">
        <f>IF(H23="","",MAX(0,ROUND((H23-$G$6/24)*1440,0)/1440))</f>
      </c>
      <c r="J23" s="24">
        <f>IF(AND(ISNUMBER(C23),NOT(ISNUMBER(F23))),"Falta la salida",IF(AND(ISNUMBER(F23),NOT(ISNUMBER(C23))),"Falta el ingreso",IF(AND(ISNUMBER(G23),G23&gt;0,G23&lt;45/1440),"Refrigerio menor a 45 min","")))</f>
      </c>
      <c r="K23" s="25"/>
      <c r="L23" s="25"/>
    </row>
    <row r="24" ht="20" customHeight="1" spans="1:12" x14ac:dyDescent="0.25">
      <c r="A24" s="20">
        <f>IF($N$4+15&lt;$N$5,$N$4+15,"")</f>
      </c>
      <c r="B24" s="21">
        <f>IF(A24="","",INDEX(Listas!$A$2:$A$8,WEEKDAY(A24))&amp;IF(COUNTIF(Feriados!$A$6:$A$49,A24)&gt;0," · feriado",""))</f>
      </c>
      <c r="C24" s="22"/>
      <c r="D24" s="22"/>
      <c r="E24" s="22"/>
      <c r="F24" s="22"/>
      <c r="G24" s="23">
        <f>IF(AND(ISNUMBER(D24),ISNUMBER(E24)),ROUND(MOD(E24-D24,1)*1440,0)/1440,"")</f>
      </c>
      <c r="H24" s="23">
        <f>IF(AND(ISNUMBER(C24),ISNUMBER(F24)),ROUND(MOD(F24-C24,1)*1440,0)/1440-N(G24),"")</f>
      </c>
      <c r="I24" s="23">
        <f>IF(H24="","",MAX(0,ROUND((H24-$G$6/24)*1440,0)/1440))</f>
      </c>
      <c r="J24" s="24">
        <f>IF(AND(ISNUMBER(C24),NOT(ISNUMBER(F24))),"Falta la salida",IF(AND(ISNUMBER(F24),NOT(ISNUMBER(C24))),"Falta el ingreso",IF(AND(ISNUMBER(G24),G24&gt;0,G24&lt;45/1440),"Refrigerio menor a 45 min","")))</f>
      </c>
      <c r="K24" s="25"/>
      <c r="L24" s="25"/>
    </row>
    <row r="25" ht="20" customHeight="1" spans="1:12" x14ac:dyDescent="0.25">
      <c r="A25" s="20">
        <f>IF($N$4+16&lt;$N$5,$N$4+16,"")</f>
      </c>
      <c r="B25" s="21">
        <f>IF(A25="","",INDEX(Listas!$A$2:$A$8,WEEKDAY(A25))&amp;IF(COUNTIF(Feriados!$A$6:$A$49,A25)&gt;0," · feriado",""))</f>
      </c>
      <c r="C25" s="22"/>
      <c r="D25" s="22"/>
      <c r="E25" s="22"/>
      <c r="F25" s="22"/>
      <c r="G25" s="23">
        <f>IF(AND(ISNUMBER(D25),ISNUMBER(E25)),ROUND(MOD(E25-D25,1)*1440,0)/1440,"")</f>
      </c>
      <c r="H25" s="23">
        <f>IF(AND(ISNUMBER(C25),ISNUMBER(F25)),ROUND(MOD(F25-C25,1)*1440,0)/1440-N(G25),"")</f>
      </c>
      <c r="I25" s="23">
        <f>IF(H25="","",MAX(0,ROUND((H25-$G$6/24)*1440,0)/1440))</f>
      </c>
      <c r="J25" s="24">
        <f>IF(AND(ISNUMBER(C25),NOT(ISNUMBER(F25))),"Falta la salida",IF(AND(ISNUMBER(F25),NOT(ISNUMBER(C25))),"Falta el ingreso",IF(AND(ISNUMBER(G25),G25&gt;0,G25&lt;45/1440),"Refrigerio menor a 45 min","")))</f>
      </c>
      <c r="K25" s="25"/>
      <c r="L25" s="25"/>
    </row>
    <row r="26" ht="20" customHeight="1" spans="1:12" x14ac:dyDescent="0.25">
      <c r="A26" s="20">
        <f>IF($N$4+17&lt;$N$5,$N$4+17,"")</f>
      </c>
      <c r="B26" s="21">
        <f>IF(A26="","",INDEX(Listas!$A$2:$A$8,WEEKDAY(A26))&amp;IF(COUNTIF(Feriados!$A$6:$A$49,A26)&gt;0," · feriado",""))</f>
      </c>
      <c r="C26" s="22"/>
      <c r="D26" s="22"/>
      <c r="E26" s="22"/>
      <c r="F26" s="22"/>
      <c r="G26" s="23">
        <f>IF(AND(ISNUMBER(D26),ISNUMBER(E26)),ROUND(MOD(E26-D26,1)*1440,0)/1440,"")</f>
      </c>
      <c r="H26" s="23">
        <f>IF(AND(ISNUMBER(C26),ISNUMBER(F26)),ROUND(MOD(F26-C26,1)*1440,0)/1440-N(G26),"")</f>
      </c>
      <c r="I26" s="23">
        <f>IF(H26="","",MAX(0,ROUND((H26-$G$6/24)*1440,0)/1440))</f>
      </c>
      <c r="J26" s="24">
        <f>IF(AND(ISNUMBER(C26),NOT(ISNUMBER(F26))),"Falta la salida",IF(AND(ISNUMBER(F26),NOT(ISNUMBER(C26))),"Falta el ingreso",IF(AND(ISNUMBER(G26),G26&gt;0,G26&lt;45/1440),"Refrigerio menor a 45 min","")))</f>
      </c>
      <c r="K26" s="25"/>
      <c r="L26" s="25"/>
    </row>
    <row r="27" ht="20" customHeight="1" spans="1:12" x14ac:dyDescent="0.25">
      <c r="A27" s="20">
        <f>IF($N$4+18&lt;$N$5,$N$4+18,"")</f>
      </c>
      <c r="B27" s="21">
        <f>IF(A27="","",INDEX(Listas!$A$2:$A$8,WEEKDAY(A27))&amp;IF(COUNTIF(Feriados!$A$6:$A$49,A27)&gt;0," · feriado",""))</f>
      </c>
      <c r="C27" s="22"/>
      <c r="D27" s="22"/>
      <c r="E27" s="22"/>
      <c r="F27" s="22"/>
      <c r="G27" s="23">
        <f>IF(AND(ISNUMBER(D27),ISNUMBER(E27)),ROUND(MOD(E27-D27,1)*1440,0)/1440,"")</f>
      </c>
      <c r="H27" s="23">
        <f>IF(AND(ISNUMBER(C27),ISNUMBER(F27)),ROUND(MOD(F27-C27,1)*1440,0)/1440-N(G27),"")</f>
      </c>
      <c r="I27" s="23">
        <f>IF(H27="","",MAX(0,ROUND((H27-$G$6/24)*1440,0)/1440))</f>
      </c>
      <c r="J27" s="24">
        <f>IF(AND(ISNUMBER(C27),NOT(ISNUMBER(F27))),"Falta la salida",IF(AND(ISNUMBER(F27),NOT(ISNUMBER(C27))),"Falta el ingreso",IF(AND(ISNUMBER(G27),G27&gt;0,G27&lt;45/1440),"Refrigerio menor a 45 min","")))</f>
      </c>
      <c r="K27" s="25"/>
      <c r="L27" s="25"/>
    </row>
    <row r="28" ht="20" customHeight="1" spans="1:12" x14ac:dyDescent="0.25">
      <c r="A28" s="20">
        <f>IF($N$4+19&lt;$N$5,$N$4+19,"")</f>
      </c>
      <c r="B28" s="21">
        <f>IF(A28="","",INDEX(Listas!$A$2:$A$8,WEEKDAY(A28))&amp;IF(COUNTIF(Feriados!$A$6:$A$49,A28)&gt;0," · feriado",""))</f>
      </c>
      <c r="C28" s="22"/>
      <c r="D28" s="22"/>
      <c r="E28" s="22"/>
      <c r="F28" s="22"/>
      <c r="G28" s="23">
        <f>IF(AND(ISNUMBER(D28),ISNUMBER(E28)),ROUND(MOD(E28-D28,1)*1440,0)/1440,"")</f>
      </c>
      <c r="H28" s="23">
        <f>IF(AND(ISNUMBER(C28),ISNUMBER(F28)),ROUND(MOD(F28-C28,1)*1440,0)/1440-N(G28),"")</f>
      </c>
      <c r="I28" s="23">
        <f>IF(H28="","",MAX(0,ROUND((H28-$G$6/24)*1440,0)/1440))</f>
      </c>
      <c r="J28" s="24">
        <f>IF(AND(ISNUMBER(C28),NOT(ISNUMBER(F28))),"Falta la salida",IF(AND(ISNUMBER(F28),NOT(ISNUMBER(C28))),"Falta el ingreso",IF(AND(ISNUMBER(G28),G28&gt;0,G28&lt;45/1440),"Refrigerio menor a 45 min","")))</f>
      </c>
      <c r="K28" s="25"/>
      <c r="L28" s="25"/>
    </row>
    <row r="29" ht="20" customHeight="1" spans="1:12" x14ac:dyDescent="0.25">
      <c r="A29" s="20">
        <f>IF($N$4+20&lt;$N$5,$N$4+20,"")</f>
      </c>
      <c r="B29" s="21">
        <f>IF(A29="","",INDEX(Listas!$A$2:$A$8,WEEKDAY(A29))&amp;IF(COUNTIF(Feriados!$A$6:$A$49,A29)&gt;0," · feriado",""))</f>
      </c>
      <c r="C29" s="22"/>
      <c r="D29" s="22"/>
      <c r="E29" s="22"/>
      <c r="F29" s="22"/>
      <c r="G29" s="23">
        <f>IF(AND(ISNUMBER(D29),ISNUMBER(E29)),ROUND(MOD(E29-D29,1)*1440,0)/1440,"")</f>
      </c>
      <c r="H29" s="23">
        <f>IF(AND(ISNUMBER(C29),ISNUMBER(F29)),ROUND(MOD(F29-C29,1)*1440,0)/1440-N(G29),"")</f>
      </c>
      <c r="I29" s="23">
        <f>IF(H29="","",MAX(0,ROUND((H29-$G$6/24)*1440,0)/1440))</f>
      </c>
      <c r="J29" s="24">
        <f>IF(AND(ISNUMBER(C29),NOT(ISNUMBER(F29))),"Falta la salida",IF(AND(ISNUMBER(F29),NOT(ISNUMBER(C29))),"Falta el ingreso",IF(AND(ISNUMBER(G29),G29&gt;0,G29&lt;45/1440),"Refrigerio menor a 45 min","")))</f>
      </c>
      <c r="K29" s="25"/>
      <c r="L29" s="25"/>
    </row>
    <row r="30" ht="20" customHeight="1" spans="1:12" x14ac:dyDescent="0.25">
      <c r="A30" s="20">
        <f>IF($N$4+21&lt;$N$5,$N$4+21,"")</f>
      </c>
      <c r="B30" s="21">
        <f>IF(A30="","",INDEX(Listas!$A$2:$A$8,WEEKDAY(A30))&amp;IF(COUNTIF(Feriados!$A$6:$A$49,A30)&gt;0," · feriado",""))</f>
      </c>
      <c r="C30" s="22"/>
      <c r="D30" s="22"/>
      <c r="E30" s="22"/>
      <c r="F30" s="22"/>
      <c r="G30" s="23">
        <f>IF(AND(ISNUMBER(D30),ISNUMBER(E30)),ROUND(MOD(E30-D30,1)*1440,0)/1440,"")</f>
      </c>
      <c r="H30" s="23">
        <f>IF(AND(ISNUMBER(C30),ISNUMBER(F30)),ROUND(MOD(F30-C30,1)*1440,0)/1440-N(G30),"")</f>
      </c>
      <c r="I30" s="23">
        <f>IF(H30="","",MAX(0,ROUND((H30-$G$6/24)*1440,0)/1440))</f>
      </c>
      <c r="J30" s="24">
        <f>IF(AND(ISNUMBER(C30),NOT(ISNUMBER(F30))),"Falta la salida",IF(AND(ISNUMBER(F30),NOT(ISNUMBER(C30))),"Falta el ingreso",IF(AND(ISNUMBER(G30),G30&gt;0,G30&lt;45/1440),"Refrigerio menor a 45 min","")))</f>
      </c>
      <c r="K30" s="25"/>
      <c r="L30" s="25"/>
    </row>
    <row r="31" ht="20" customHeight="1" spans="1:12" x14ac:dyDescent="0.25">
      <c r="A31" s="20">
        <f>IF($N$4+22&lt;$N$5,$N$4+22,"")</f>
      </c>
      <c r="B31" s="21">
        <f>IF(A31="","",INDEX(Listas!$A$2:$A$8,WEEKDAY(A31))&amp;IF(COUNTIF(Feriados!$A$6:$A$49,A31)&gt;0," · feriado",""))</f>
      </c>
      <c r="C31" s="22"/>
      <c r="D31" s="22"/>
      <c r="E31" s="22"/>
      <c r="F31" s="22"/>
      <c r="G31" s="23">
        <f>IF(AND(ISNUMBER(D31),ISNUMBER(E31)),ROUND(MOD(E31-D31,1)*1440,0)/1440,"")</f>
      </c>
      <c r="H31" s="23">
        <f>IF(AND(ISNUMBER(C31),ISNUMBER(F31)),ROUND(MOD(F31-C31,1)*1440,0)/1440-N(G31),"")</f>
      </c>
      <c r="I31" s="23">
        <f>IF(H31="","",MAX(0,ROUND((H31-$G$6/24)*1440,0)/1440))</f>
      </c>
      <c r="J31" s="24">
        <f>IF(AND(ISNUMBER(C31),NOT(ISNUMBER(F31))),"Falta la salida",IF(AND(ISNUMBER(F31),NOT(ISNUMBER(C31))),"Falta el ingreso",IF(AND(ISNUMBER(G31),G31&gt;0,G31&lt;45/1440),"Refrigerio menor a 45 min","")))</f>
      </c>
      <c r="K31" s="25"/>
      <c r="L31" s="25"/>
    </row>
    <row r="32" ht="20" customHeight="1" spans="1:12" x14ac:dyDescent="0.25">
      <c r="A32" s="20">
        <f>IF($N$4+23&lt;$N$5,$N$4+23,"")</f>
      </c>
      <c r="B32" s="21">
        <f>IF(A32="","",INDEX(Listas!$A$2:$A$8,WEEKDAY(A32))&amp;IF(COUNTIF(Feriados!$A$6:$A$49,A32)&gt;0," · feriado",""))</f>
      </c>
      <c r="C32" s="22"/>
      <c r="D32" s="22"/>
      <c r="E32" s="22"/>
      <c r="F32" s="22"/>
      <c r="G32" s="23">
        <f>IF(AND(ISNUMBER(D32),ISNUMBER(E32)),ROUND(MOD(E32-D32,1)*1440,0)/1440,"")</f>
      </c>
      <c r="H32" s="23">
        <f>IF(AND(ISNUMBER(C32),ISNUMBER(F32)),ROUND(MOD(F32-C32,1)*1440,0)/1440-N(G32),"")</f>
      </c>
      <c r="I32" s="23">
        <f>IF(H32="","",MAX(0,ROUND((H32-$G$6/24)*1440,0)/1440))</f>
      </c>
      <c r="J32" s="24">
        <f>IF(AND(ISNUMBER(C32),NOT(ISNUMBER(F32))),"Falta la salida",IF(AND(ISNUMBER(F32),NOT(ISNUMBER(C32))),"Falta el ingreso",IF(AND(ISNUMBER(G32),G32&gt;0,G32&lt;45/1440),"Refrigerio menor a 45 min","")))</f>
      </c>
      <c r="K32" s="25"/>
      <c r="L32" s="25"/>
    </row>
    <row r="33" ht="20" customHeight="1" spans="1:12" x14ac:dyDescent="0.25">
      <c r="A33" s="20">
        <f>IF($N$4+24&lt;$N$5,$N$4+24,"")</f>
      </c>
      <c r="B33" s="21">
        <f>IF(A33="","",INDEX(Listas!$A$2:$A$8,WEEKDAY(A33))&amp;IF(COUNTIF(Feriados!$A$6:$A$49,A33)&gt;0," · feriado",""))</f>
      </c>
      <c r="C33" s="22"/>
      <c r="D33" s="22"/>
      <c r="E33" s="22"/>
      <c r="F33" s="22"/>
      <c r="G33" s="23">
        <f>IF(AND(ISNUMBER(D33),ISNUMBER(E33)),ROUND(MOD(E33-D33,1)*1440,0)/1440,"")</f>
      </c>
      <c r="H33" s="23">
        <f>IF(AND(ISNUMBER(C33),ISNUMBER(F33)),ROUND(MOD(F33-C33,1)*1440,0)/1440-N(G33),"")</f>
      </c>
      <c r="I33" s="23">
        <f>IF(H33="","",MAX(0,ROUND((H33-$G$6/24)*1440,0)/1440))</f>
      </c>
      <c r="J33" s="24">
        <f>IF(AND(ISNUMBER(C33),NOT(ISNUMBER(F33))),"Falta la salida",IF(AND(ISNUMBER(F33),NOT(ISNUMBER(C33))),"Falta el ingreso",IF(AND(ISNUMBER(G33),G33&gt;0,G33&lt;45/1440),"Refrigerio menor a 45 min","")))</f>
      </c>
      <c r="K33" s="25"/>
      <c r="L33" s="25"/>
    </row>
    <row r="34" ht="20" customHeight="1" spans="1:12" x14ac:dyDescent="0.25">
      <c r="A34" s="20">
        <f>IF($N$4+25&lt;$N$5,$N$4+25,"")</f>
      </c>
      <c r="B34" s="21">
        <f>IF(A34="","",INDEX(Listas!$A$2:$A$8,WEEKDAY(A34))&amp;IF(COUNTIF(Feriados!$A$6:$A$49,A34)&gt;0," · feriado",""))</f>
      </c>
      <c r="C34" s="22"/>
      <c r="D34" s="22"/>
      <c r="E34" s="22"/>
      <c r="F34" s="22"/>
      <c r="G34" s="23">
        <f>IF(AND(ISNUMBER(D34),ISNUMBER(E34)),ROUND(MOD(E34-D34,1)*1440,0)/1440,"")</f>
      </c>
      <c r="H34" s="23">
        <f>IF(AND(ISNUMBER(C34),ISNUMBER(F34)),ROUND(MOD(F34-C34,1)*1440,0)/1440-N(G34),"")</f>
      </c>
      <c r="I34" s="23">
        <f>IF(H34="","",MAX(0,ROUND((H34-$G$6/24)*1440,0)/1440))</f>
      </c>
      <c r="J34" s="24">
        <f>IF(AND(ISNUMBER(C34),NOT(ISNUMBER(F34))),"Falta la salida",IF(AND(ISNUMBER(F34),NOT(ISNUMBER(C34))),"Falta el ingreso",IF(AND(ISNUMBER(G34),G34&gt;0,G34&lt;45/1440),"Refrigerio menor a 45 min","")))</f>
      </c>
      <c r="K34" s="25"/>
      <c r="L34" s="25"/>
    </row>
    <row r="35" ht="20" customHeight="1" spans="1:12" x14ac:dyDescent="0.25">
      <c r="A35" s="20">
        <f>IF($N$4+26&lt;$N$5,$N$4+26,"")</f>
      </c>
      <c r="B35" s="21">
        <f>IF(A35="","",INDEX(Listas!$A$2:$A$8,WEEKDAY(A35))&amp;IF(COUNTIF(Feriados!$A$6:$A$49,A35)&gt;0," · feriado",""))</f>
      </c>
      <c r="C35" s="22"/>
      <c r="D35" s="22"/>
      <c r="E35" s="22"/>
      <c r="F35" s="22"/>
      <c r="G35" s="23">
        <f>IF(AND(ISNUMBER(D35),ISNUMBER(E35)),ROUND(MOD(E35-D35,1)*1440,0)/1440,"")</f>
      </c>
      <c r="H35" s="23">
        <f>IF(AND(ISNUMBER(C35),ISNUMBER(F35)),ROUND(MOD(F35-C35,1)*1440,0)/1440-N(G35),"")</f>
      </c>
      <c r="I35" s="23">
        <f>IF(H35="","",MAX(0,ROUND((H35-$G$6/24)*1440,0)/1440))</f>
      </c>
      <c r="J35" s="24">
        <f>IF(AND(ISNUMBER(C35),NOT(ISNUMBER(F35))),"Falta la salida",IF(AND(ISNUMBER(F35),NOT(ISNUMBER(C35))),"Falta el ingreso",IF(AND(ISNUMBER(G35),G35&gt;0,G35&lt;45/1440),"Refrigerio menor a 45 min","")))</f>
      </c>
      <c r="K35" s="25"/>
      <c r="L35" s="25"/>
    </row>
    <row r="36" ht="20" customHeight="1" spans="1:12" x14ac:dyDescent="0.25">
      <c r="A36" s="20">
        <f>IF($N$4+27&lt;$N$5,$N$4+27,"")</f>
      </c>
      <c r="B36" s="21">
        <f>IF(A36="","",INDEX(Listas!$A$2:$A$8,WEEKDAY(A36))&amp;IF(COUNTIF(Feriados!$A$6:$A$49,A36)&gt;0," · feriado",""))</f>
      </c>
      <c r="C36" s="22"/>
      <c r="D36" s="22"/>
      <c r="E36" s="22"/>
      <c r="F36" s="22"/>
      <c r="G36" s="23">
        <f>IF(AND(ISNUMBER(D36),ISNUMBER(E36)),ROUND(MOD(E36-D36,1)*1440,0)/1440,"")</f>
      </c>
      <c r="H36" s="23">
        <f>IF(AND(ISNUMBER(C36),ISNUMBER(F36)),ROUND(MOD(F36-C36,1)*1440,0)/1440-N(G36),"")</f>
      </c>
      <c r="I36" s="23">
        <f>IF(H36="","",MAX(0,ROUND((H36-$G$6/24)*1440,0)/1440))</f>
      </c>
      <c r="J36" s="24">
        <f>IF(AND(ISNUMBER(C36),NOT(ISNUMBER(F36))),"Falta la salida",IF(AND(ISNUMBER(F36),NOT(ISNUMBER(C36))),"Falta el ingreso",IF(AND(ISNUMBER(G36),G36&gt;0,G36&lt;45/1440),"Refrigerio menor a 45 min","")))</f>
      </c>
      <c r="K36" s="25"/>
      <c r="L36" s="25"/>
    </row>
    <row r="37" ht="20" customHeight="1" spans="1:12" x14ac:dyDescent="0.25">
      <c r="A37" s="20">
        <f>IF($N$4+28&lt;$N$5,$N$4+28,"")</f>
      </c>
      <c r="B37" s="21">
        <f>IF(A37="","",INDEX(Listas!$A$2:$A$8,WEEKDAY(A37))&amp;IF(COUNTIF(Feriados!$A$6:$A$49,A37)&gt;0," · feriado",""))</f>
      </c>
      <c r="C37" s="22"/>
      <c r="D37" s="22"/>
      <c r="E37" s="22"/>
      <c r="F37" s="22"/>
      <c r="G37" s="23">
        <f>IF(AND(ISNUMBER(D37),ISNUMBER(E37)),ROUND(MOD(E37-D37,1)*1440,0)/1440,"")</f>
      </c>
      <c r="H37" s="23">
        <f>IF(AND(ISNUMBER(C37),ISNUMBER(F37)),ROUND(MOD(F37-C37,1)*1440,0)/1440-N(G37),"")</f>
      </c>
      <c r="I37" s="23">
        <f>IF(H37="","",MAX(0,ROUND((H37-$G$6/24)*1440,0)/1440))</f>
      </c>
      <c r="J37" s="24">
        <f>IF(AND(ISNUMBER(C37),NOT(ISNUMBER(F37))),"Falta la salida",IF(AND(ISNUMBER(F37),NOT(ISNUMBER(C37))),"Falta el ingreso",IF(AND(ISNUMBER(G37),G37&gt;0,G37&lt;45/1440),"Refrigerio menor a 45 min","")))</f>
      </c>
      <c r="K37" s="25"/>
      <c r="L37" s="25"/>
    </row>
    <row r="38" ht="20" customHeight="1" spans="1:12" x14ac:dyDescent="0.25">
      <c r="A38" s="20">
        <f>IF($N$4+29&lt;$N$5,$N$4+29,"")</f>
      </c>
      <c r="B38" s="21">
        <f>IF(A38="","",INDEX(Listas!$A$2:$A$8,WEEKDAY(A38))&amp;IF(COUNTIF(Feriados!$A$6:$A$49,A38)&gt;0," · feriado",""))</f>
      </c>
      <c r="C38" s="22"/>
      <c r="D38" s="22"/>
      <c r="E38" s="22"/>
      <c r="F38" s="22"/>
      <c r="G38" s="23">
        <f>IF(AND(ISNUMBER(D38),ISNUMBER(E38)),ROUND(MOD(E38-D38,1)*1440,0)/1440,"")</f>
      </c>
      <c r="H38" s="23">
        <f>IF(AND(ISNUMBER(C38),ISNUMBER(F38)),ROUND(MOD(F38-C38,1)*1440,0)/1440-N(G38),"")</f>
      </c>
      <c r="I38" s="23">
        <f>IF(H38="","",MAX(0,ROUND((H38-$G$6/24)*1440,0)/1440))</f>
      </c>
      <c r="J38" s="24">
        <f>IF(AND(ISNUMBER(C38),NOT(ISNUMBER(F38))),"Falta la salida",IF(AND(ISNUMBER(F38),NOT(ISNUMBER(C38))),"Falta el ingreso",IF(AND(ISNUMBER(G38),G38&gt;0,G38&lt;45/1440),"Refrigerio menor a 45 min","")))</f>
      </c>
      <c r="K38" s="25"/>
      <c r="L38" s="25"/>
    </row>
    <row r="39" ht="20" customHeight="1" spans="1:12" x14ac:dyDescent="0.25">
      <c r="A39" s="20">
        <f>IF($N$4+30&lt;$N$5,$N$4+30,"")</f>
      </c>
      <c r="B39" s="21">
        <f>IF(A39="","",INDEX(Listas!$A$2:$A$8,WEEKDAY(A39))&amp;IF(COUNTIF(Feriados!$A$6:$A$49,A39)&gt;0," · feriado",""))</f>
      </c>
      <c r="C39" s="22"/>
      <c r="D39" s="22"/>
      <c r="E39" s="22"/>
      <c r="F39" s="22"/>
      <c r="G39" s="23">
        <f>IF(AND(ISNUMBER(D39),ISNUMBER(E39)),ROUND(MOD(E39-D39,1)*1440,0)/1440,"")</f>
      </c>
      <c r="H39" s="23">
        <f>IF(AND(ISNUMBER(C39),ISNUMBER(F39)),ROUND(MOD(F39-C39,1)*1440,0)/1440-N(G39),"")</f>
      </c>
      <c r="I39" s="23">
        <f>IF(H39="","",MAX(0,ROUND((H39-$G$6/24)*1440,0)/1440))</f>
      </c>
      <c r="J39" s="24">
        <f>IF(AND(ISNUMBER(C39),NOT(ISNUMBER(F39))),"Falta la salida",IF(AND(ISNUMBER(F39),NOT(ISNUMBER(C39))),"Falta el ingreso",IF(AND(ISNUMBER(G39),G39&gt;0,G39&lt;45/1440),"Refrigerio menor a 45 min","")))</f>
      </c>
      <c r="K39" s="25"/>
      <c r="L39" s="25"/>
    </row>
    <row r="40" spans="7:9" x14ac:dyDescent="0.25">
      <c r="G40" s="16" t="s">
        <v>50</v>
      </c>
      <c r="H40" s="26">
        <f>SUM(H9:H39)</f>
      </c>
      <c r="I40" s="26">
        <f>SUM(I9:I39)</f>
      </c>
    </row>
    <row r="42" spans="1:1" x14ac:dyDescent="0.25">
      <c r="A42" s="6" t="s">
        <v>17</v>
      </c>
    </row>
    <row r="43" spans="1:1" x14ac:dyDescent="0.25">
      <c r="A43" s="7" t="s">
        <v>18</v>
      </c>
    </row>
    <row r="44" spans="1:1" x14ac:dyDescent="0.25">
      <c r="A44" s="8" t="s">
        <v>19</v>
      </c>
    </row>
    <row r="45" spans="1:1" x14ac:dyDescent="0.25">
      <c r="A45" s="7" t="s">
        <v>20</v>
      </c>
    </row>
  </sheetData>
  <mergeCells count="7">
    <mergeCell ref="A1:L1"/>
    <mergeCell ref="A2:L2"/>
    <mergeCell ref="A3:L3"/>
    <mergeCell ref="B4:E4"/>
    <mergeCell ref="G4:I4"/>
    <mergeCell ref="B5:E5"/>
    <mergeCell ref="G5:I5"/>
  </mergeCells>
  <conditionalFormatting sqref="A9:B39">
    <cfRule type="expression" dxfId="4" priority="1">
      <formula>RIGHT($B9,7)="feriado"</formula>
    </cfRule>
  </conditionalFormatting>
  <hyperlinks>
    <hyperlink ref="A44" r:id="rId1"/>
  </hyperlinks>
  <pageSetup paperSize="9" orientation="landscape" fitToWidth="1" fitToHeight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1" customWidth="1"/>
    <col min="4" max="5" width="13" customWidth="1"/>
    <col min="6" max="6" width="11" customWidth="1"/>
    <col min="7" max="8" width="12" customWidth="1"/>
    <col min="9" max="9" width="13" customWidth="1"/>
    <col min="10" max="10" width="24" customWidth="1"/>
    <col min="11" max="11" width="30" customWidth="1"/>
    <col min="12" max="12" width="22" customWidth="1"/>
    <col min="13" max="13" width="4" customWidth="1"/>
    <col min="14" max="14" width="12" hidden="1" customWidth="1"/>
  </cols>
  <sheetData>
    <row r="1" ht="3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 spans="1:12" x14ac:dyDescent="0.25">
      <c r="A2" s="2" t="s">
        <v>59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2" customHeight="1" spans="1:12" x14ac:dyDescent="0.25">
      <c r="A3" s="9" t="s">
        <v>31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x14ac:dyDescent="0.25">
      <c r="A4" s="10" t="s">
        <v>32</v>
      </c>
      <c r="B4" s="14">
        <f>IF(Datos!$B$5="","",Datos!$B$5)</f>
      </c>
      <c r="C4" s="14"/>
      <c r="D4" s="14"/>
      <c r="E4" s="14"/>
      <c r="F4" s="10" t="s">
        <v>33</v>
      </c>
      <c r="G4" s="14">
        <f>IF(Datos!$B$6="","",Datos!$B$6)</f>
      </c>
      <c r="H4" s="14"/>
      <c r="I4" s="14"/>
      <c r="N4" s="15">
        <f>INDEX(Listas!$C$2:$C$62,($D$6-2026)*12+6)</f>
      </c>
    </row>
    <row r="5" spans="1:14" x14ac:dyDescent="0.25">
      <c r="A5" s="10" t="s">
        <v>34</v>
      </c>
      <c r="B5" s="14">
        <f>IF(Datos!$B$7="","",Datos!$B$7)</f>
      </c>
      <c r="C5" s="14"/>
      <c r="D5" s="14"/>
      <c r="E5" s="14"/>
      <c r="F5" s="10" t="s">
        <v>35</v>
      </c>
      <c r="G5" s="14">
        <f>IF(Datos!$B$8="","",Datos!$B$8)</f>
      </c>
      <c r="H5" s="14"/>
      <c r="I5" s="14"/>
      <c r="N5" s="15">
        <f>INDEX(Listas!$C$2:$C$62,($D$6-2026)*12+7)</f>
      </c>
    </row>
    <row r="6" spans="1:7" x14ac:dyDescent="0.25">
      <c r="A6" s="10" t="s">
        <v>36</v>
      </c>
      <c r="B6" s="16" t="s">
        <v>60</v>
      </c>
      <c r="C6" s="10" t="s">
        <v>38</v>
      </c>
      <c r="D6" s="17">
        <f>Datos!$B$10</f>
      </c>
      <c r="F6" s="10" t="s">
        <v>39</v>
      </c>
      <c r="G6" s="18">
        <f>Datos!$B$9</f>
      </c>
    </row>
    <row r="8" ht="42" customHeight="1" spans="1:12" x14ac:dyDescent="0.25">
      <c r="A8" s="19" t="s">
        <v>40</v>
      </c>
      <c r="B8" s="19" t="s">
        <v>41</v>
      </c>
      <c r="C8" s="19" t="s">
        <v>42</v>
      </c>
      <c r="D8" s="19" t="s">
        <v>43</v>
      </c>
      <c r="E8" s="19" t="s">
        <v>44</v>
      </c>
      <c r="F8" s="19" t="s">
        <v>45</v>
      </c>
      <c r="G8" s="19" t="s">
        <v>9</v>
      </c>
      <c r="H8" s="19" t="s">
        <v>46</v>
      </c>
      <c r="I8" s="19" t="s">
        <v>11</v>
      </c>
      <c r="J8" s="19" t="s">
        <v>47</v>
      </c>
      <c r="K8" s="19" t="s">
        <v>48</v>
      </c>
      <c r="L8" s="19" t="s">
        <v>49</v>
      </c>
    </row>
    <row r="9" ht="20" customHeight="1" spans="1:12" x14ac:dyDescent="0.25">
      <c r="A9" s="20">
        <f>IF($N$4+0&lt;$N$5,$N$4+0,"")</f>
      </c>
      <c r="B9" s="21">
        <f>IF(A9="","",INDEX(Listas!$A$2:$A$8,WEEKDAY(A9))&amp;IF(COUNTIF(Feriados!$A$6:$A$49,A9)&gt;0," · feriado",""))</f>
      </c>
      <c r="C9" s="22"/>
      <c r="D9" s="22"/>
      <c r="E9" s="22"/>
      <c r="F9" s="22"/>
      <c r="G9" s="23">
        <f>IF(AND(ISNUMBER(D9),ISNUMBER(E9)),ROUND(MOD(E9-D9,1)*1440,0)/1440,"")</f>
      </c>
      <c r="H9" s="23">
        <f>IF(AND(ISNUMBER(C9),ISNUMBER(F9)),ROUND(MOD(F9-C9,1)*1440,0)/1440-N(G9),"")</f>
      </c>
      <c r="I9" s="23">
        <f>IF(H9="","",MAX(0,ROUND((H9-$G$6/24)*1440,0)/1440))</f>
      </c>
      <c r="J9" s="24">
        <f>IF(AND(ISNUMBER(C9),NOT(ISNUMBER(F9))),"Falta la salida",IF(AND(ISNUMBER(F9),NOT(ISNUMBER(C9))),"Falta el ingreso",IF(AND(ISNUMBER(G9),G9&gt;0,G9&lt;45/1440),"Refrigerio menor a 45 min","")))</f>
      </c>
      <c r="K9" s="25"/>
      <c r="L9" s="25"/>
    </row>
    <row r="10" ht="20" customHeight="1" spans="1:12" x14ac:dyDescent="0.25">
      <c r="A10" s="20">
        <f>IF($N$4+1&lt;$N$5,$N$4+1,"")</f>
      </c>
      <c r="B10" s="21">
        <f>IF(A10="","",INDEX(Listas!$A$2:$A$8,WEEKDAY(A10))&amp;IF(COUNTIF(Feriados!$A$6:$A$49,A10)&gt;0," · feriado",""))</f>
      </c>
      <c r="C10" s="22"/>
      <c r="D10" s="22"/>
      <c r="E10" s="22"/>
      <c r="F10" s="22"/>
      <c r="G10" s="23">
        <f>IF(AND(ISNUMBER(D10),ISNUMBER(E10)),ROUND(MOD(E10-D10,1)*1440,0)/1440,"")</f>
      </c>
      <c r="H10" s="23">
        <f>IF(AND(ISNUMBER(C10),ISNUMBER(F10)),ROUND(MOD(F10-C10,1)*1440,0)/1440-N(G10),"")</f>
      </c>
      <c r="I10" s="23">
        <f>IF(H10="","",MAX(0,ROUND((H10-$G$6/24)*1440,0)/1440))</f>
      </c>
      <c r="J10" s="24">
        <f>IF(AND(ISNUMBER(C10),NOT(ISNUMBER(F10))),"Falta la salida",IF(AND(ISNUMBER(F10),NOT(ISNUMBER(C10))),"Falta el ingreso",IF(AND(ISNUMBER(G10),G10&gt;0,G10&lt;45/1440),"Refrigerio menor a 45 min","")))</f>
      </c>
      <c r="K10" s="25"/>
      <c r="L10" s="25"/>
    </row>
    <row r="11" ht="20" customHeight="1" spans="1:12" x14ac:dyDescent="0.25">
      <c r="A11" s="20">
        <f>IF($N$4+2&lt;$N$5,$N$4+2,"")</f>
      </c>
      <c r="B11" s="21">
        <f>IF(A11="","",INDEX(Listas!$A$2:$A$8,WEEKDAY(A11))&amp;IF(COUNTIF(Feriados!$A$6:$A$49,A11)&gt;0," · feriado",""))</f>
      </c>
      <c r="C11" s="22"/>
      <c r="D11" s="22"/>
      <c r="E11" s="22"/>
      <c r="F11" s="22"/>
      <c r="G11" s="23">
        <f>IF(AND(ISNUMBER(D11),ISNUMBER(E11)),ROUND(MOD(E11-D11,1)*1440,0)/1440,"")</f>
      </c>
      <c r="H11" s="23">
        <f>IF(AND(ISNUMBER(C11),ISNUMBER(F11)),ROUND(MOD(F11-C11,1)*1440,0)/1440-N(G11),"")</f>
      </c>
      <c r="I11" s="23">
        <f>IF(H11="","",MAX(0,ROUND((H11-$G$6/24)*1440,0)/1440))</f>
      </c>
      <c r="J11" s="24">
        <f>IF(AND(ISNUMBER(C11),NOT(ISNUMBER(F11))),"Falta la salida",IF(AND(ISNUMBER(F11),NOT(ISNUMBER(C11))),"Falta el ingreso",IF(AND(ISNUMBER(G11),G11&gt;0,G11&lt;45/1440),"Refrigerio menor a 45 min","")))</f>
      </c>
      <c r="K11" s="25"/>
      <c r="L11" s="25"/>
    </row>
    <row r="12" ht="20" customHeight="1" spans="1:12" x14ac:dyDescent="0.25">
      <c r="A12" s="20">
        <f>IF($N$4+3&lt;$N$5,$N$4+3,"")</f>
      </c>
      <c r="B12" s="21">
        <f>IF(A12="","",INDEX(Listas!$A$2:$A$8,WEEKDAY(A12))&amp;IF(COUNTIF(Feriados!$A$6:$A$49,A12)&gt;0," · feriado",""))</f>
      </c>
      <c r="C12" s="22"/>
      <c r="D12" s="22"/>
      <c r="E12" s="22"/>
      <c r="F12" s="22"/>
      <c r="G12" s="23">
        <f>IF(AND(ISNUMBER(D12),ISNUMBER(E12)),ROUND(MOD(E12-D12,1)*1440,0)/1440,"")</f>
      </c>
      <c r="H12" s="23">
        <f>IF(AND(ISNUMBER(C12),ISNUMBER(F12)),ROUND(MOD(F12-C12,1)*1440,0)/1440-N(G12),"")</f>
      </c>
      <c r="I12" s="23">
        <f>IF(H12="","",MAX(0,ROUND((H12-$G$6/24)*1440,0)/1440))</f>
      </c>
      <c r="J12" s="24">
        <f>IF(AND(ISNUMBER(C12),NOT(ISNUMBER(F12))),"Falta la salida",IF(AND(ISNUMBER(F12),NOT(ISNUMBER(C12))),"Falta el ingreso",IF(AND(ISNUMBER(G12),G12&gt;0,G12&lt;45/1440),"Refrigerio menor a 45 min","")))</f>
      </c>
      <c r="K12" s="25"/>
      <c r="L12" s="25"/>
    </row>
    <row r="13" ht="20" customHeight="1" spans="1:12" x14ac:dyDescent="0.25">
      <c r="A13" s="20">
        <f>IF($N$4+4&lt;$N$5,$N$4+4,"")</f>
      </c>
      <c r="B13" s="21">
        <f>IF(A13="","",INDEX(Listas!$A$2:$A$8,WEEKDAY(A13))&amp;IF(COUNTIF(Feriados!$A$6:$A$49,A13)&gt;0," · feriado",""))</f>
      </c>
      <c r="C13" s="22"/>
      <c r="D13" s="22"/>
      <c r="E13" s="22"/>
      <c r="F13" s="22"/>
      <c r="G13" s="23">
        <f>IF(AND(ISNUMBER(D13),ISNUMBER(E13)),ROUND(MOD(E13-D13,1)*1440,0)/1440,"")</f>
      </c>
      <c r="H13" s="23">
        <f>IF(AND(ISNUMBER(C13),ISNUMBER(F13)),ROUND(MOD(F13-C13,1)*1440,0)/1440-N(G13),"")</f>
      </c>
      <c r="I13" s="23">
        <f>IF(H13="","",MAX(0,ROUND((H13-$G$6/24)*1440,0)/1440))</f>
      </c>
      <c r="J13" s="24">
        <f>IF(AND(ISNUMBER(C13),NOT(ISNUMBER(F13))),"Falta la salida",IF(AND(ISNUMBER(F13),NOT(ISNUMBER(C13))),"Falta el ingreso",IF(AND(ISNUMBER(G13),G13&gt;0,G13&lt;45/1440),"Refrigerio menor a 45 min","")))</f>
      </c>
      <c r="K13" s="25"/>
      <c r="L13" s="25"/>
    </row>
    <row r="14" ht="20" customHeight="1" spans="1:12" x14ac:dyDescent="0.25">
      <c r="A14" s="20">
        <f>IF($N$4+5&lt;$N$5,$N$4+5,"")</f>
      </c>
      <c r="B14" s="21">
        <f>IF(A14="","",INDEX(Listas!$A$2:$A$8,WEEKDAY(A14))&amp;IF(COUNTIF(Feriados!$A$6:$A$49,A14)&gt;0," · feriado",""))</f>
      </c>
      <c r="C14" s="22"/>
      <c r="D14" s="22"/>
      <c r="E14" s="22"/>
      <c r="F14" s="22"/>
      <c r="G14" s="23">
        <f>IF(AND(ISNUMBER(D14),ISNUMBER(E14)),ROUND(MOD(E14-D14,1)*1440,0)/1440,"")</f>
      </c>
      <c r="H14" s="23">
        <f>IF(AND(ISNUMBER(C14),ISNUMBER(F14)),ROUND(MOD(F14-C14,1)*1440,0)/1440-N(G14),"")</f>
      </c>
      <c r="I14" s="23">
        <f>IF(H14="","",MAX(0,ROUND((H14-$G$6/24)*1440,0)/1440))</f>
      </c>
      <c r="J14" s="24">
        <f>IF(AND(ISNUMBER(C14),NOT(ISNUMBER(F14))),"Falta la salida",IF(AND(ISNUMBER(F14),NOT(ISNUMBER(C14))),"Falta el ingreso",IF(AND(ISNUMBER(G14),G14&gt;0,G14&lt;45/1440),"Refrigerio menor a 45 min","")))</f>
      </c>
      <c r="K14" s="25"/>
      <c r="L14" s="25"/>
    </row>
    <row r="15" ht="20" customHeight="1" spans="1:12" x14ac:dyDescent="0.25">
      <c r="A15" s="20">
        <f>IF($N$4+6&lt;$N$5,$N$4+6,"")</f>
      </c>
      <c r="B15" s="21">
        <f>IF(A15="","",INDEX(Listas!$A$2:$A$8,WEEKDAY(A15))&amp;IF(COUNTIF(Feriados!$A$6:$A$49,A15)&gt;0," · feriado",""))</f>
      </c>
      <c r="C15" s="22"/>
      <c r="D15" s="22"/>
      <c r="E15" s="22"/>
      <c r="F15" s="22"/>
      <c r="G15" s="23">
        <f>IF(AND(ISNUMBER(D15),ISNUMBER(E15)),ROUND(MOD(E15-D15,1)*1440,0)/1440,"")</f>
      </c>
      <c r="H15" s="23">
        <f>IF(AND(ISNUMBER(C15),ISNUMBER(F15)),ROUND(MOD(F15-C15,1)*1440,0)/1440-N(G15),"")</f>
      </c>
      <c r="I15" s="23">
        <f>IF(H15="","",MAX(0,ROUND((H15-$G$6/24)*1440,0)/1440))</f>
      </c>
      <c r="J15" s="24">
        <f>IF(AND(ISNUMBER(C15),NOT(ISNUMBER(F15))),"Falta la salida",IF(AND(ISNUMBER(F15),NOT(ISNUMBER(C15))),"Falta el ingreso",IF(AND(ISNUMBER(G15),G15&gt;0,G15&lt;45/1440),"Refrigerio menor a 45 min","")))</f>
      </c>
      <c r="K15" s="25"/>
      <c r="L15" s="25"/>
    </row>
    <row r="16" ht="20" customHeight="1" spans="1:12" x14ac:dyDescent="0.25">
      <c r="A16" s="20">
        <f>IF($N$4+7&lt;$N$5,$N$4+7,"")</f>
      </c>
      <c r="B16" s="21">
        <f>IF(A16="","",INDEX(Listas!$A$2:$A$8,WEEKDAY(A16))&amp;IF(COUNTIF(Feriados!$A$6:$A$49,A16)&gt;0," · feriado",""))</f>
      </c>
      <c r="C16" s="22"/>
      <c r="D16" s="22"/>
      <c r="E16" s="22"/>
      <c r="F16" s="22"/>
      <c r="G16" s="23">
        <f>IF(AND(ISNUMBER(D16),ISNUMBER(E16)),ROUND(MOD(E16-D16,1)*1440,0)/1440,"")</f>
      </c>
      <c r="H16" s="23">
        <f>IF(AND(ISNUMBER(C16),ISNUMBER(F16)),ROUND(MOD(F16-C16,1)*1440,0)/1440-N(G16),"")</f>
      </c>
      <c r="I16" s="23">
        <f>IF(H16="","",MAX(0,ROUND((H16-$G$6/24)*1440,0)/1440))</f>
      </c>
      <c r="J16" s="24">
        <f>IF(AND(ISNUMBER(C16),NOT(ISNUMBER(F16))),"Falta la salida",IF(AND(ISNUMBER(F16),NOT(ISNUMBER(C16))),"Falta el ingreso",IF(AND(ISNUMBER(G16),G16&gt;0,G16&lt;45/1440),"Refrigerio menor a 45 min","")))</f>
      </c>
      <c r="K16" s="25"/>
      <c r="L16" s="25"/>
    </row>
    <row r="17" ht="20" customHeight="1" spans="1:12" x14ac:dyDescent="0.25">
      <c r="A17" s="20">
        <f>IF($N$4+8&lt;$N$5,$N$4+8,"")</f>
      </c>
      <c r="B17" s="21">
        <f>IF(A17="","",INDEX(Listas!$A$2:$A$8,WEEKDAY(A17))&amp;IF(COUNTIF(Feriados!$A$6:$A$49,A17)&gt;0," · feriado",""))</f>
      </c>
      <c r="C17" s="22"/>
      <c r="D17" s="22"/>
      <c r="E17" s="22"/>
      <c r="F17" s="22"/>
      <c r="G17" s="23">
        <f>IF(AND(ISNUMBER(D17),ISNUMBER(E17)),ROUND(MOD(E17-D17,1)*1440,0)/1440,"")</f>
      </c>
      <c r="H17" s="23">
        <f>IF(AND(ISNUMBER(C17),ISNUMBER(F17)),ROUND(MOD(F17-C17,1)*1440,0)/1440-N(G17),"")</f>
      </c>
      <c r="I17" s="23">
        <f>IF(H17="","",MAX(0,ROUND((H17-$G$6/24)*1440,0)/1440))</f>
      </c>
      <c r="J17" s="24">
        <f>IF(AND(ISNUMBER(C17),NOT(ISNUMBER(F17))),"Falta la salida",IF(AND(ISNUMBER(F17),NOT(ISNUMBER(C17))),"Falta el ingreso",IF(AND(ISNUMBER(G17),G17&gt;0,G17&lt;45/1440),"Refrigerio menor a 45 min","")))</f>
      </c>
      <c r="K17" s="25"/>
      <c r="L17" s="25"/>
    </row>
    <row r="18" ht="20" customHeight="1" spans="1:12" x14ac:dyDescent="0.25">
      <c r="A18" s="20">
        <f>IF($N$4+9&lt;$N$5,$N$4+9,"")</f>
      </c>
      <c r="B18" s="21">
        <f>IF(A18="","",INDEX(Listas!$A$2:$A$8,WEEKDAY(A18))&amp;IF(COUNTIF(Feriados!$A$6:$A$49,A18)&gt;0," · feriado",""))</f>
      </c>
      <c r="C18" s="22"/>
      <c r="D18" s="22"/>
      <c r="E18" s="22"/>
      <c r="F18" s="22"/>
      <c r="G18" s="23">
        <f>IF(AND(ISNUMBER(D18),ISNUMBER(E18)),ROUND(MOD(E18-D18,1)*1440,0)/1440,"")</f>
      </c>
      <c r="H18" s="23">
        <f>IF(AND(ISNUMBER(C18),ISNUMBER(F18)),ROUND(MOD(F18-C18,1)*1440,0)/1440-N(G18),"")</f>
      </c>
      <c r="I18" s="23">
        <f>IF(H18="","",MAX(0,ROUND((H18-$G$6/24)*1440,0)/1440))</f>
      </c>
      <c r="J18" s="24">
        <f>IF(AND(ISNUMBER(C18),NOT(ISNUMBER(F18))),"Falta la salida",IF(AND(ISNUMBER(F18),NOT(ISNUMBER(C18))),"Falta el ingreso",IF(AND(ISNUMBER(G18),G18&gt;0,G18&lt;45/1440),"Refrigerio menor a 45 min","")))</f>
      </c>
      <c r="K18" s="25"/>
      <c r="L18" s="25"/>
    </row>
    <row r="19" ht="20" customHeight="1" spans="1:12" x14ac:dyDescent="0.25">
      <c r="A19" s="20">
        <f>IF($N$4+10&lt;$N$5,$N$4+10,"")</f>
      </c>
      <c r="B19" s="21">
        <f>IF(A19="","",INDEX(Listas!$A$2:$A$8,WEEKDAY(A19))&amp;IF(COUNTIF(Feriados!$A$6:$A$49,A19)&gt;0," · feriado",""))</f>
      </c>
      <c r="C19" s="22"/>
      <c r="D19" s="22"/>
      <c r="E19" s="22"/>
      <c r="F19" s="22"/>
      <c r="G19" s="23">
        <f>IF(AND(ISNUMBER(D19),ISNUMBER(E19)),ROUND(MOD(E19-D19,1)*1440,0)/1440,"")</f>
      </c>
      <c r="H19" s="23">
        <f>IF(AND(ISNUMBER(C19),ISNUMBER(F19)),ROUND(MOD(F19-C19,1)*1440,0)/1440-N(G19),"")</f>
      </c>
      <c r="I19" s="23">
        <f>IF(H19="","",MAX(0,ROUND((H19-$G$6/24)*1440,0)/1440))</f>
      </c>
      <c r="J19" s="24">
        <f>IF(AND(ISNUMBER(C19),NOT(ISNUMBER(F19))),"Falta la salida",IF(AND(ISNUMBER(F19),NOT(ISNUMBER(C19))),"Falta el ingreso",IF(AND(ISNUMBER(G19),G19&gt;0,G19&lt;45/1440),"Refrigerio menor a 45 min","")))</f>
      </c>
      <c r="K19" s="25"/>
      <c r="L19" s="25"/>
    </row>
    <row r="20" ht="20" customHeight="1" spans="1:12" x14ac:dyDescent="0.25">
      <c r="A20" s="20">
        <f>IF($N$4+11&lt;$N$5,$N$4+11,"")</f>
      </c>
      <c r="B20" s="21">
        <f>IF(A20="","",INDEX(Listas!$A$2:$A$8,WEEKDAY(A20))&amp;IF(COUNTIF(Feriados!$A$6:$A$49,A20)&gt;0," · feriado",""))</f>
      </c>
      <c r="C20" s="22"/>
      <c r="D20" s="22"/>
      <c r="E20" s="22"/>
      <c r="F20" s="22"/>
      <c r="G20" s="23">
        <f>IF(AND(ISNUMBER(D20),ISNUMBER(E20)),ROUND(MOD(E20-D20,1)*1440,0)/1440,"")</f>
      </c>
      <c r="H20" s="23">
        <f>IF(AND(ISNUMBER(C20),ISNUMBER(F20)),ROUND(MOD(F20-C20,1)*1440,0)/1440-N(G20),"")</f>
      </c>
      <c r="I20" s="23">
        <f>IF(H20="","",MAX(0,ROUND((H20-$G$6/24)*1440,0)/1440))</f>
      </c>
      <c r="J20" s="24">
        <f>IF(AND(ISNUMBER(C20),NOT(ISNUMBER(F20))),"Falta la salida",IF(AND(ISNUMBER(F20),NOT(ISNUMBER(C20))),"Falta el ingreso",IF(AND(ISNUMBER(G20),G20&gt;0,G20&lt;45/1440),"Refrigerio menor a 45 min","")))</f>
      </c>
      <c r="K20" s="25"/>
      <c r="L20" s="25"/>
    </row>
    <row r="21" ht="20" customHeight="1" spans="1:12" x14ac:dyDescent="0.25">
      <c r="A21" s="20">
        <f>IF($N$4+12&lt;$N$5,$N$4+12,"")</f>
      </c>
      <c r="B21" s="21">
        <f>IF(A21="","",INDEX(Listas!$A$2:$A$8,WEEKDAY(A21))&amp;IF(COUNTIF(Feriados!$A$6:$A$49,A21)&gt;0," · feriado",""))</f>
      </c>
      <c r="C21" s="22"/>
      <c r="D21" s="22"/>
      <c r="E21" s="22"/>
      <c r="F21" s="22"/>
      <c r="G21" s="23">
        <f>IF(AND(ISNUMBER(D21),ISNUMBER(E21)),ROUND(MOD(E21-D21,1)*1440,0)/1440,"")</f>
      </c>
      <c r="H21" s="23">
        <f>IF(AND(ISNUMBER(C21),ISNUMBER(F21)),ROUND(MOD(F21-C21,1)*1440,0)/1440-N(G21),"")</f>
      </c>
      <c r="I21" s="23">
        <f>IF(H21="","",MAX(0,ROUND((H21-$G$6/24)*1440,0)/1440))</f>
      </c>
      <c r="J21" s="24">
        <f>IF(AND(ISNUMBER(C21),NOT(ISNUMBER(F21))),"Falta la salida",IF(AND(ISNUMBER(F21),NOT(ISNUMBER(C21))),"Falta el ingreso",IF(AND(ISNUMBER(G21),G21&gt;0,G21&lt;45/1440),"Refrigerio menor a 45 min","")))</f>
      </c>
      <c r="K21" s="25"/>
      <c r="L21" s="25"/>
    </row>
    <row r="22" ht="20" customHeight="1" spans="1:12" x14ac:dyDescent="0.25">
      <c r="A22" s="20">
        <f>IF($N$4+13&lt;$N$5,$N$4+13,"")</f>
      </c>
      <c r="B22" s="21">
        <f>IF(A22="","",INDEX(Listas!$A$2:$A$8,WEEKDAY(A22))&amp;IF(COUNTIF(Feriados!$A$6:$A$49,A22)&gt;0," · feriado",""))</f>
      </c>
      <c r="C22" s="22"/>
      <c r="D22" s="22"/>
      <c r="E22" s="22"/>
      <c r="F22" s="22"/>
      <c r="G22" s="23">
        <f>IF(AND(ISNUMBER(D22),ISNUMBER(E22)),ROUND(MOD(E22-D22,1)*1440,0)/1440,"")</f>
      </c>
      <c r="H22" s="23">
        <f>IF(AND(ISNUMBER(C22),ISNUMBER(F22)),ROUND(MOD(F22-C22,1)*1440,0)/1440-N(G22),"")</f>
      </c>
      <c r="I22" s="23">
        <f>IF(H22="","",MAX(0,ROUND((H22-$G$6/24)*1440,0)/1440))</f>
      </c>
      <c r="J22" s="24">
        <f>IF(AND(ISNUMBER(C22),NOT(ISNUMBER(F22))),"Falta la salida",IF(AND(ISNUMBER(F22),NOT(ISNUMBER(C22))),"Falta el ingreso",IF(AND(ISNUMBER(G22),G22&gt;0,G22&lt;45/1440),"Refrigerio menor a 45 min","")))</f>
      </c>
      <c r="K22" s="25"/>
      <c r="L22" s="25"/>
    </row>
    <row r="23" ht="20" customHeight="1" spans="1:12" x14ac:dyDescent="0.25">
      <c r="A23" s="20">
        <f>IF($N$4+14&lt;$N$5,$N$4+14,"")</f>
      </c>
      <c r="B23" s="21">
        <f>IF(A23="","",INDEX(Listas!$A$2:$A$8,WEEKDAY(A23))&amp;IF(COUNTIF(Feriados!$A$6:$A$49,A23)&gt;0," · feriado",""))</f>
      </c>
      <c r="C23" s="22"/>
      <c r="D23" s="22"/>
      <c r="E23" s="22"/>
      <c r="F23" s="22"/>
      <c r="G23" s="23">
        <f>IF(AND(ISNUMBER(D23),ISNUMBER(E23)),ROUND(MOD(E23-D23,1)*1440,0)/1440,"")</f>
      </c>
      <c r="H23" s="23">
        <f>IF(AND(ISNUMBER(C23),ISNUMBER(F23)),ROUND(MOD(F23-C23,1)*1440,0)/1440-N(G23),"")</f>
      </c>
      <c r="I23" s="23">
        <f>IF(H23="","",MAX(0,ROUND((H23-$G$6/24)*1440,0)/1440))</f>
      </c>
      <c r="J23" s="24">
        <f>IF(AND(ISNUMBER(C23),NOT(ISNUMBER(F23))),"Falta la salida",IF(AND(ISNUMBER(F23),NOT(ISNUMBER(C23))),"Falta el ingreso",IF(AND(ISNUMBER(G23),G23&gt;0,G23&lt;45/1440),"Refrigerio menor a 45 min","")))</f>
      </c>
      <c r="K23" s="25"/>
      <c r="L23" s="25"/>
    </row>
    <row r="24" ht="20" customHeight="1" spans="1:12" x14ac:dyDescent="0.25">
      <c r="A24" s="20">
        <f>IF($N$4+15&lt;$N$5,$N$4+15,"")</f>
      </c>
      <c r="B24" s="21">
        <f>IF(A24="","",INDEX(Listas!$A$2:$A$8,WEEKDAY(A24))&amp;IF(COUNTIF(Feriados!$A$6:$A$49,A24)&gt;0," · feriado",""))</f>
      </c>
      <c r="C24" s="22"/>
      <c r="D24" s="22"/>
      <c r="E24" s="22"/>
      <c r="F24" s="22"/>
      <c r="G24" s="23">
        <f>IF(AND(ISNUMBER(D24),ISNUMBER(E24)),ROUND(MOD(E24-D24,1)*1440,0)/1440,"")</f>
      </c>
      <c r="H24" s="23">
        <f>IF(AND(ISNUMBER(C24),ISNUMBER(F24)),ROUND(MOD(F24-C24,1)*1440,0)/1440-N(G24),"")</f>
      </c>
      <c r="I24" s="23">
        <f>IF(H24="","",MAX(0,ROUND((H24-$G$6/24)*1440,0)/1440))</f>
      </c>
      <c r="J24" s="24">
        <f>IF(AND(ISNUMBER(C24),NOT(ISNUMBER(F24))),"Falta la salida",IF(AND(ISNUMBER(F24),NOT(ISNUMBER(C24))),"Falta el ingreso",IF(AND(ISNUMBER(G24),G24&gt;0,G24&lt;45/1440),"Refrigerio menor a 45 min","")))</f>
      </c>
      <c r="K24" s="25"/>
      <c r="L24" s="25"/>
    </row>
    <row r="25" ht="20" customHeight="1" spans="1:12" x14ac:dyDescent="0.25">
      <c r="A25" s="20">
        <f>IF($N$4+16&lt;$N$5,$N$4+16,"")</f>
      </c>
      <c r="B25" s="21">
        <f>IF(A25="","",INDEX(Listas!$A$2:$A$8,WEEKDAY(A25))&amp;IF(COUNTIF(Feriados!$A$6:$A$49,A25)&gt;0," · feriado",""))</f>
      </c>
      <c r="C25" s="22"/>
      <c r="D25" s="22"/>
      <c r="E25" s="22"/>
      <c r="F25" s="22"/>
      <c r="G25" s="23">
        <f>IF(AND(ISNUMBER(D25),ISNUMBER(E25)),ROUND(MOD(E25-D25,1)*1440,0)/1440,"")</f>
      </c>
      <c r="H25" s="23">
        <f>IF(AND(ISNUMBER(C25),ISNUMBER(F25)),ROUND(MOD(F25-C25,1)*1440,0)/1440-N(G25),"")</f>
      </c>
      <c r="I25" s="23">
        <f>IF(H25="","",MAX(0,ROUND((H25-$G$6/24)*1440,0)/1440))</f>
      </c>
      <c r="J25" s="24">
        <f>IF(AND(ISNUMBER(C25),NOT(ISNUMBER(F25))),"Falta la salida",IF(AND(ISNUMBER(F25),NOT(ISNUMBER(C25))),"Falta el ingreso",IF(AND(ISNUMBER(G25),G25&gt;0,G25&lt;45/1440),"Refrigerio menor a 45 min","")))</f>
      </c>
      <c r="K25" s="25"/>
      <c r="L25" s="25"/>
    </row>
    <row r="26" ht="20" customHeight="1" spans="1:12" x14ac:dyDescent="0.25">
      <c r="A26" s="20">
        <f>IF($N$4+17&lt;$N$5,$N$4+17,"")</f>
      </c>
      <c r="B26" s="21">
        <f>IF(A26="","",INDEX(Listas!$A$2:$A$8,WEEKDAY(A26))&amp;IF(COUNTIF(Feriados!$A$6:$A$49,A26)&gt;0," · feriado",""))</f>
      </c>
      <c r="C26" s="22"/>
      <c r="D26" s="22"/>
      <c r="E26" s="22"/>
      <c r="F26" s="22"/>
      <c r="G26" s="23">
        <f>IF(AND(ISNUMBER(D26),ISNUMBER(E26)),ROUND(MOD(E26-D26,1)*1440,0)/1440,"")</f>
      </c>
      <c r="H26" s="23">
        <f>IF(AND(ISNUMBER(C26),ISNUMBER(F26)),ROUND(MOD(F26-C26,1)*1440,0)/1440-N(G26),"")</f>
      </c>
      <c r="I26" s="23">
        <f>IF(H26="","",MAX(0,ROUND((H26-$G$6/24)*1440,0)/1440))</f>
      </c>
      <c r="J26" s="24">
        <f>IF(AND(ISNUMBER(C26),NOT(ISNUMBER(F26))),"Falta la salida",IF(AND(ISNUMBER(F26),NOT(ISNUMBER(C26))),"Falta el ingreso",IF(AND(ISNUMBER(G26),G26&gt;0,G26&lt;45/1440),"Refrigerio menor a 45 min","")))</f>
      </c>
      <c r="K26" s="25"/>
      <c r="L26" s="25"/>
    </row>
    <row r="27" ht="20" customHeight="1" spans="1:12" x14ac:dyDescent="0.25">
      <c r="A27" s="20">
        <f>IF($N$4+18&lt;$N$5,$N$4+18,"")</f>
      </c>
      <c r="B27" s="21">
        <f>IF(A27="","",INDEX(Listas!$A$2:$A$8,WEEKDAY(A27))&amp;IF(COUNTIF(Feriados!$A$6:$A$49,A27)&gt;0," · feriado",""))</f>
      </c>
      <c r="C27" s="22"/>
      <c r="D27" s="22"/>
      <c r="E27" s="22"/>
      <c r="F27" s="22"/>
      <c r="G27" s="23">
        <f>IF(AND(ISNUMBER(D27),ISNUMBER(E27)),ROUND(MOD(E27-D27,1)*1440,0)/1440,"")</f>
      </c>
      <c r="H27" s="23">
        <f>IF(AND(ISNUMBER(C27),ISNUMBER(F27)),ROUND(MOD(F27-C27,1)*1440,0)/1440-N(G27),"")</f>
      </c>
      <c r="I27" s="23">
        <f>IF(H27="","",MAX(0,ROUND((H27-$G$6/24)*1440,0)/1440))</f>
      </c>
      <c r="J27" s="24">
        <f>IF(AND(ISNUMBER(C27),NOT(ISNUMBER(F27))),"Falta la salida",IF(AND(ISNUMBER(F27),NOT(ISNUMBER(C27))),"Falta el ingreso",IF(AND(ISNUMBER(G27),G27&gt;0,G27&lt;45/1440),"Refrigerio menor a 45 min","")))</f>
      </c>
      <c r="K27" s="25"/>
      <c r="L27" s="25"/>
    </row>
    <row r="28" ht="20" customHeight="1" spans="1:12" x14ac:dyDescent="0.25">
      <c r="A28" s="20">
        <f>IF($N$4+19&lt;$N$5,$N$4+19,"")</f>
      </c>
      <c r="B28" s="21">
        <f>IF(A28="","",INDEX(Listas!$A$2:$A$8,WEEKDAY(A28))&amp;IF(COUNTIF(Feriados!$A$6:$A$49,A28)&gt;0," · feriado",""))</f>
      </c>
      <c r="C28" s="22"/>
      <c r="D28" s="22"/>
      <c r="E28" s="22"/>
      <c r="F28" s="22"/>
      <c r="G28" s="23">
        <f>IF(AND(ISNUMBER(D28),ISNUMBER(E28)),ROUND(MOD(E28-D28,1)*1440,0)/1440,"")</f>
      </c>
      <c r="H28" s="23">
        <f>IF(AND(ISNUMBER(C28),ISNUMBER(F28)),ROUND(MOD(F28-C28,1)*1440,0)/1440-N(G28),"")</f>
      </c>
      <c r="I28" s="23">
        <f>IF(H28="","",MAX(0,ROUND((H28-$G$6/24)*1440,0)/1440))</f>
      </c>
      <c r="J28" s="24">
        <f>IF(AND(ISNUMBER(C28),NOT(ISNUMBER(F28))),"Falta la salida",IF(AND(ISNUMBER(F28),NOT(ISNUMBER(C28))),"Falta el ingreso",IF(AND(ISNUMBER(G28),G28&gt;0,G28&lt;45/1440),"Refrigerio menor a 45 min","")))</f>
      </c>
      <c r="K28" s="25"/>
      <c r="L28" s="25"/>
    </row>
    <row r="29" ht="20" customHeight="1" spans="1:12" x14ac:dyDescent="0.25">
      <c r="A29" s="20">
        <f>IF($N$4+20&lt;$N$5,$N$4+20,"")</f>
      </c>
      <c r="B29" s="21">
        <f>IF(A29="","",INDEX(Listas!$A$2:$A$8,WEEKDAY(A29))&amp;IF(COUNTIF(Feriados!$A$6:$A$49,A29)&gt;0," · feriado",""))</f>
      </c>
      <c r="C29" s="22"/>
      <c r="D29" s="22"/>
      <c r="E29" s="22"/>
      <c r="F29" s="22"/>
      <c r="G29" s="23">
        <f>IF(AND(ISNUMBER(D29),ISNUMBER(E29)),ROUND(MOD(E29-D29,1)*1440,0)/1440,"")</f>
      </c>
      <c r="H29" s="23">
        <f>IF(AND(ISNUMBER(C29),ISNUMBER(F29)),ROUND(MOD(F29-C29,1)*1440,0)/1440-N(G29),"")</f>
      </c>
      <c r="I29" s="23">
        <f>IF(H29="","",MAX(0,ROUND((H29-$G$6/24)*1440,0)/1440))</f>
      </c>
      <c r="J29" s="24">
        <f>IF(AND(ISNUMBER(C29),NOT(ISNUMBER(F29))),"Falta la salida",IF(AND(ISNUMBER(F29),NOT(ISNUMBER(C29))),"Falta el ingreso",IF(AND(ISNUMBER(G29),G29&gt;0,G29&lt;45/1440),"Refrigerio menor a 45 min","")))</f>
      </c>
      <c r="K29" s="25"/>
      <c r="L29" s="25"/>
    </row>
    <row r="30" ht="20" customHeight="1" spans="1:12" x14ac:dyDescent="0.25">
      <c r="A30" s="20">
        <f>IF($N$4+21&lt;$N$5,$N$4+21,"")</f>
      </c>
      <c r="B30" s="21">
        <f>IF(A30="","",INDEX(Listas!$A$2:$A$8,WEEKDAY(A30))&amp;IF(COUNTIF(Feriados!$A$6:$A$49,A30)&gt;0," · feriado",""))</f>
      </c>
      <c r="C30" s="22"/>
      <c r="D30" s="22"/>
      <c r="E30" s="22"/>
      <c r="F30" s="22"/>
      <c r="G30" s="23">
        <f>IF(AND(ISNUMBER(D30),ISNUMBER(E30)),ROUND(MOD(E30-D30,1)*1440,0)/1440,"")</f>
      </c>
      <c r="H30" s="23">
        <f>IF(AND(ISNUMBER(C30),ISNUMBER(F30)),ROUND(MOD(F30-C30,1)*1440,0)/1440-N(G30),"")</f>
      </c>
      <c r="I30" s="23">
        <f>IF(H30="","",MAX(0,ROUND((H30-$G$6/24)*1440,0)/1440))</f>
      </c>
      <c r="J30" s="24">
        <f>IF(AND(ISNUMBER(C30),NOT(ISNUMBER(F30))),"Falta la salida",IF(AND(ISNUMBER(F30),NOT(ISNUMBER(C30))),"Falta el ingreso",IF(AND(ISNUMBER(G30),G30&gt;0,G30&lt;45/1440),"Refrigerio menor a 45 min","")))</f>
      </c>
      <c r="K30" s="25"/>
      <c r="L30" s="25"/>
    </row>
    <row r="31" ht="20" customHeight="1" spans="1:12" x14ac:dyDescent="0.25">
      <c r="A31" s="20">
        <f>IF($N$4+22&lt;$N$5,$N$4+22,"")</f>
      </c>
      <c r="B31" s="21">
        <f>IF(A31="","",INDEX(Listas!$A$2:$A$8,WEEKDAY(A31))&amp;IF(COUNTIF(Feriados!$A$6:$A$49,A31)&gt;0," · feriado",""))</f>
      </c>
      <c r="C31" s="22"/>
      <c r="D31" s="22"/>
      <c r="E31" s="22"/>
      <c r="F31" s="22"/>
      <c r="G31" s="23">
        <f>IF(AND(ISNUMBER(D31),ISNUMBER(E31)),ROUND(MOD(E31-D31,1)*1440,0)/1440,"")</f>
      </c>
      <c r="H31" s="23">
        <f>IF(AND(ISNUMBER(C31),ISNUMBER(F31)),ROUND(MOD(F31-C31,1)*1440,0)/1440-N(G31),"")</f>
      </c>
      <c r="I31" s="23">
        <f>IF(H31="","",MAX(0,ROUND((H31-$G$6/24)*1440,0)/1440))</f>
      </c>
      <c r="J31" s="24">
        <f>IF(AND(ISNUMBER(C31),NOT(ISNUMBER(F31))),"Falta la salida",IF(AND(ISNUMBER(F31),NOT(ISNUMBER(C31))),"Falta el ingreso",IF(AND(ISNUMBER(G31),G31&gt;0,G31&lt;45/1440),"Refrigerio menor a 45 min","")))</f>
      </c>
      <c r="K31" s="25"/>
      <c r="L31" s="25"/>
    </row>
    <row r="32" ht="20" customHeight="1" spans="1:12" x14ac:dyDescent="0.25">
      <c r="A32" s="20">
        <f>IF($N$4+23&lt;$N$5,$N$4+23,"")</f>
      </c>
      <c r="B32" s="21">
        <f>IF(A32="","",INDEX(Listas!$A$2:$A$8,WEEKDAY(A32))&amp;IF(COUNTIF(Feriados!$A$6:$A$49,A32)&gt;0," · feriado",""))</f>
      </c>
      <c r="C32" s="22"/>
      <c r="D32" s="22"/>
      <c r="E32" s="22"/>
      <c r="F32" s="22"/>
      <c r="G32" s="23">
        <f>IF(AND(ISNUMBER(D32),ISNUMBER(E32)),ROUND(MOD(E32-D32,1)*1440,0)/1440,"")</f>
      </c>
      <c r="H32" s="23">
        <f>IF(AND(ISNUMBER(C32),ISNUMBER(F32)),ROUND(MOD(F32-C32,1)*1440,0)/1440-N(G32),"")</f>
      </c>
      <c r="I32" s="23">
        <f>IF(H32="","",MAX(0,ROUND((H32-$G$6/24)*1440,0)/1440))</f>
      </c>
      <c r="J32" s="24">
        <f>IF(AND(ISNUMBER(C32),NOT(ISNUMBER(F32))),"Falta la salida",IF(AND(ISNUMBER(F32),NOT(ISNUMBER(C32))),"Falta el ingreso",IF(AND(ISNUMBER(G32),G32&gt;0,G32&lt;45/1440),"Refrigerio menor a 45 min","")))</f>
      </c>
      <c r="K32" s="25"/>
      <c r="L32" s="25"/>
    </row>
    <row r="33" ht="20" customHeight="1" spans="1:12" x14ac:dyDescent="0.25">
      <c r="A33" s="20">
        <f>IF($N$4+24&lt;$N$5,$N$4+24,"")</f>
      </c>
      <c r="B33" s="21">
        <f>IF(A33="","",INDEX(Listas!$A$2:$A$8,WEEKDAY(A33))&amp;IF(COUNTIF(Feriados!$A$6:$A$49,A33)&gt;0," · feriado",""))</f>
      </c>
      <c r="C33" s="22"/>
      <c r="D33" s="22"/>
      <c r="E33" s="22"/>
      <c r="F33" s="22"/>
      <c r="G33" s="23">
        <f>IF(AND(ISNUMBER(D33),ISNUMBER(E33)),ROUND(MOD(E33-D33,1)*1440,0)/1440,"")</f>
      </c>
      <c r="H33" s="23">
        <f>IF(AND(ISNUMBER(C33),ISNUMBER(F33)),ROUND(MOD(F33-C33,1)*1440,0)/1440-N(G33),"")</f>
      </c>
      <c r="I33" s="23">
        <f>IF(H33="","",MAX(0,ROUND((H33-$G$6/24)*1440,0)/1440))</f>
      </c>
      <c r="J33" s="24">
        <f>IF(AND(ISNUMBER(C33),NOT(ISNUMBER(F33))),"Falta la salida",IF(AND(ISNUMBER(F33),NOT(ISNUMBER(C33))),"Falta el ingreso",IF(AND(ISNUMBER(G33),G33&gt;0,G33&lt;45/1440),"Refrigerio menor a 45 min","")))</f>
      </c>
      <c r="K33" s="25"/>
      <c r="L33" s="25"/>
    </row>
    <row r="34" ht="20" customHeight="1" spans="1:12" x14ac:dyDescent="0.25">
      <c r="A34" s="20">
        <f>IF($N$4+25&lt;$N$5,$N$4+25,"")</f>
      </c>
      <c r="B34" s="21">
        <f>IF(A34="","",INDEX(Listas!$A$2:$A$8,WEEKDAY(A34))&amp;IF(COUNTIF(Feriados!$A$6:$A$49,A34)&gt;0," · feriado",""))</f>
      </c>
      <c r="C34" s="22"/>
      <c r="D34" s="22"/>
      <c r="E34" s="22"/>
      <c r="F34" s="22"/>
      <c r="G34" s="23">
        <f>IF(AND(ISNUMBER(D34),ISNUMBER(E34)),ROUND(MOD(E34-D34,1)*1440,0)/1440,"")</f>
      </c>
      <c r="H34" s="23">
        <f>IF(AND(ISNUMBER(C34),ISNUMBER(F34)),ROUND(MOD(F34-C34,1)*1440,0)/1440-N(G34),"")</f>
      </c>
      <c r="I34" s="23">
        <f>IF(H34="","",MAX(0,ROUND((H34-$G$6/24)*1440,0)/1440))</f>
      </c>
      <c r="J34" s="24">
        <f>IF(AND(ISNUMBER(C34),NOT(ISNUMBER(F34))),"Falta la salida",IF(AND(ISNUMBER(F34),NOT(ISNUMBER(C34))),"Falta el ingreso",IF(AND(ISNUMBER(G34),G34&gt;0,G34&lt;45/1440),"Refrigerio menor a 45 min","")))</f>
      </c>
      <c r="K34" s="25"/>
      <c r="L34" s="25"/>
    </row>
    <row r="35" ht="20" customHeight="1" spans="1:12" x14ac:dyDescent="0.25">
      <c r="A35" s="20">
        <f>IF($N$4+26&lt;$N$5,$N$4+26,"")</f>
      </c>
      <c r="B35" s="21">
        <f>IF(A35="","",INDEX(Listas!$A$2:$A$8,WEEKDAY(A35))&amp;IF(COUNTIF(Feriados!$A$6:$A$49,A35)&gt;0," · feriado",""))</f>
      </c>
      <c r="C35" s="22"/>
      <c r="D35" s="22"/>
      <c r="E35" s="22"/>
      <c r="F35" s="22"/>
      <c r="G35" s="23">
        <f>IF(AND(ISNUMBER(D35),ISNUMBER(E35)),ROUND(MOD(E35-D35,1)*1440,0)/1440,"")</f>
      </c>
      <c r="H35" s="23">
        <f>IF(AND(ISNUMBER(C35),ISNUMBER(F35)),ROUND(MOD(F35-C35,1)*1440,0)/1440-N(G35),"")</f>
      </c>
      <c r="I35" s="23">
        <f>IF(H35="","",MAX(0,ROUND((H35-$G$6/24)*1440,0)/1440))</f>
      </c>
      <c r="J35" s="24">
        <f>IF(AND(ISNUMBER(C35),NOT(ISNUMBER(F35))),"Falta la salida",IF(AND(ISNUMBER(F35),NOT(ISNUMBER(C35))),"Falta el ingreso",IF(AND(ISNUMBER(G35),G35&gt;0,G35&lt;45/1440),"Refrigerio menor a 45 min","")))</f>
      </c>
      <c r="K35" s="25"/>
      <c r="L35" s="25"/>
    </row>
    <row r="36" ht="20" customHeight="1" spans="1:12" x14ac:dyDescent="0.25">
      <c r="A36" s="20">
        <f>IF($N$4+27&lt;$N$5,$N$4+27,"")</f>
      </c>
      <c r="B36" s="21">
        <f>IF(A36="","",INDEX(Listas!$A$2:$A$8,WEEKDAY(A36))&amp;IF(COUNTIF(Feriados!$A$6:$A$49,A36)&gt;0," · feriado",""))</f>
      </c>
      <c r="C36" s="22"/>
      <c r="D36" s="22"/>
      <c r="E36" s="22"/>
      <c r="F36" s="22"/>
      <c r="G36" s="23">
        <f>IF(AND(ISNUMBER(D36),ISNUMBER(E36)),ROUND(MOD(E36-D36,1)*1440,0)/1440,"")</f>
      </c>
      <c r="H36" s="23">
        <f>IF(AND(ISNUMBER(C36),ISNUMBER(F36)),ROUND(MOD(F36-C36,1)*1440,0)/1440-N(G36),"")</f>
      </c>
      <c r="I36" s="23">
        <f>IF(H36="","",MAX(0,ROUND((H36-$G$6/24)*1440,0)/1440))</f>
      </c>
      <c r="J36" s="24">
        <f>IF(AND(ISNUMBER(C36),NOT(ISNUMBER(F36))),"Falta la salida",IF(AND(ISNUMBER(F36),NOT(ISNUMBER(C36))),"Falta el ingreso",IF(AND(ISNUMBER(G36),G36&gt;0,G36&lt;45/1440),"Refrigerio menor a 45 min","")))</f>
      </c>
      <c r="K36" s="25"/>
      <c r="L36" s="25"/>
    </row>
    <row r="37" ht="20" customHeight="1" spans="1:12" x14ac:dyDescent="0.25">
      <c r="A37" s="20">
        <f>IF($N$4+28&lt;$N$5,$N$4+28,"")</f>
      </c>
      <c r="B37" s="21">
        <f>IF(A37="","",INDEX(Listas!$A$2:$A$8,WEEKDAY(A37))&amp;IF(COUNTIF(Feriados!$A$6:$A$49,A37)&gt;0," · feriado",""))</f>
      </c>
      <c r="C37" s="22"/>
      <c r="D37" s="22"/>
      <c r="E37" s="22"/>
      <c r="F37" s="22"/>
      <c r="G37" s="23">
        <f>IF(AND(ISNUMBER(D37),ISNUMBER(E37)),ROUND(MOD(E37-D37,1)*1440,0)/1440,"")</f>
      </c>
      <c r="H37" s="23">
        <f>IF(AND(ISNUMBER(C37),ISNUMBER(F37)),ROUND(MOD(F37-C37,1)*1440,0)/1440-N(G37),"")</f>
      </c>
      <c r="I37" s="23">
        <f>IF(H37="","",MAX(0,ROUND((H37-$G$6/24)*1440,0)/1440))</f>
      </c>
      <c r="J37" s="24">
        <f>IF(AND(ISNUMBER(C37),NOT(ISNUMBER(F37))),"Falta la salida",IF(AND(ISNUMBER(F37),NOT(ISNUMBER(C37))),"Falta el ingreso",IF(AND(ISNUMBER(G37),G37&gt;0,G37&lt;45/1440),"Refrigerio menor a 45 min","")))</f>
      </c>
      <c r="K37" s="25"/>
      <c r="L37" s="25"/>
    </row>
    <row r="38" ht="20" customHeight="1" spans="1:12" x14ac:dyDescent="0.25">
      <c r="A38" s="20">
        <f>IF($N$4+29&lt;$N$5,$N$4+29,"")</f>
      </c>
      <c r="B38" s="21">
        <f>IF(A38="","",INDEX(Listas!$A$2:$A$8,WEEKDAY(A38))&amp;IF(COUNTIF(Feriados!$A$6:$A$49,A38)&gt;0," · feriado",""))</f>
      </c>
      <c r="C38" s="22"/>
      <c r="D38" s="22"/>
      <c r="E38" s="22"/>
      <c r="F38" s="22"/>
      <c r="G38" s="23">
        <f>IF(AND(ISNUMBER(D38),ISNUMBER(E38)),ROUND(MOD(E38-D38,1)*1440,0)/1440,"")</f>
      </c>
      <c r="H38" s="23">
        <f>IF(AND(ISNUMBER(C38),ISNUMBER(F38)),ROUND(MOD(F38-C38,1)*1440,0)/1440-N(G38),"")</f>
      </c>
      <c r="I38" s="23">
        <f>IF(H38="","",MAX(0,ROUND((H38-$G$6/24)*1440,0)/1440))</f>
      </c>
      <c r="J38" s="24">
        <f>IF(AND(ISNUMBER(C38),NOT(ISNUMBER(F38))),"Falta la salida",IF(AND(ISNUMBER(F38),NOT(ISNUMBER(C38))),"Falta el ingreso",IF(AND(ISNUMBER(G38),G38&gt;0,G38&lt;45/1440),"Refrigerio menor a 45 min","")))</f>
      </c>
      <c r="K38" s="25"/>
      <c r="L38" s="25"/>
    </row>
    <row r="39" ht="20" customHeight="1" spans="1:12" x14ac:dyDescent="0.25">
      <c r="A39" s="20">
        <f>IF($N$4+30&lt;$N$5,$N$4+30,"")</f>
      </c>
      <c r="B39" s="21">
        <f>IF(A39="","",INDEX(Listas!$A$2:$A$8,WEEKDAY(A39))&amp;IF(COUNTIF(Feriados!$A$6:$A$49,A39)&gt;0," · feriado",""))</f>
      </c>
      <c r="C39" s="22"/>
      <c r="D39" s="22"/>
      <c r="E39" s="22"/>
      <c r="F39" s="22"/>
      <c r="G39" s="23">
        <f>IF(AND(ISNUMBER(D39),ISNUMBER(E39)),ROUND(MOD(E39-D39,1)*1440,0)/1440,"")</f>
      </c>
      <c r="H39" s="23">
        <f>IF(AND(ISNUMBER(C39),ISNUMBER(F39)),ROUND(MOD(F39-C39,1)*1440,0)/1440-N(G39),"")</f>
      </c>
      <c r="I39" s="23">
        <f>IF(H39="","",MAX(0,ROUND((H39-$G$6/24)*1440,0)/1440))</f>
      </c>
      <c r="J39" s="24">
        <f>IF(AND(ISNUMBER(C39),NOT(ISNUMBER(F39))),"Falta la salida",IF(AND(ISNUMBER(F39),NOT(ISNUMBER(C39))),"Falta el ingreso",IF(AND(ISNUMBER(G39),G39&gt;0,G39&lt;45/1440),"Refrigerio menor a 45 min","")))</f>
      </c>
      <c r="K39" s="25"/>
      <c r="L39" s="25"/>
    </row>
    <row r="40" spans="7:9" x14ac:dyDescent="0.25">
      <c r="G40" s="16" t="s">
        <v>50</v>
      </c>
      <c r="H40" s="26">
        <f>SUM(H9:H39)</f>
      </c>
      <c r="I40" s="26">
        <f>SUM(I9:I39)</f>
      </c>
    </row>
    <row r="42" spans="1:1" x14ac:dyDescent="0.25">
      <c r="A42" s="6" t="s">
        <v>17</v>
      </c>
    </row>
    <row r="43" spans="1:1" x14ac:dyDescent="0.25">
      <c r="A43" s="7" t="s">
        <v>18</v>
      </c>
    </row>
    <row r="44" spans="1:1" x14ac:dyDescent="0.25">
      <c r="A44" s="8" t="s">
        <v>19</v>
      </c>
    </row>
    <row r="45" spans="1:1" x14ac:dyDescent="0.25">
      <c r="A45" s="7" t="s">
        <v>20</v>
      </c>
    </row>
  </sheetData>
  <mergeCells count="7">
    <mergeCell ref="A1:L1"/>
    <mergeCell ref="A2:L2"/>
    <mergeCell ref="A3:L3"/>
    <mergeCell ref="B4:E4"/>
    <mergeCell ref="G4:I4"/>
    <mergeCell ref="B5:E5"/>
    <mergeCell ref="G5:I5"/>
  </mergeCells>
  <conditionalFormatting sqref="A9:B39">
    <cfRule type="expression" dxfId="5" priority="1">
      <formula>RIGHT($B9,7)="feriado"</formula>
    </cfRule>
  </conditionalFormatting>
  <hyperlinks>
    <hyperlink ref="A44" r:id="rId1"/>
  </hyperlinks>
  <pageSetup paperSize="9" orientation="landscape" fitToWidth="1" fitToHeight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1" customWidth="1"/>
    <col min="4" max="5" width="13" customWidth="1"/>
    <col min="6" max="6" width="11" customWidth="1"/>
    <col min="7" max="8" width="12" customWidth="1"/>
    <col min="9" max="9" width="13" customWidth="1"/>
    <col min="10" max="10" width="24" customWidth="1"/>
    <col min="11" max="11" width="30" customWidth="1"/>
    <col min="12" max="12" width="22" customWidth="1"/>
    <col min="13" max="13" width="4" customWidth="1"/>
    <col min="14" max="14" width="12" hidden="1" customWidth="1"/>
  </cols>
  <sheetData>
    <row r="1" ht="3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 spans="1:12" x14ac:dyDescent="0.25">
      <c r="A2" s="2" t="s">
        <v>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2" customHeight="1" spans="1:12" x14ac:dyDescent="0.25">
      <c r="A3" s="9" t="s">
        <v>31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x14ac:dyDescent="0.25">
      <c r="A4" s="10" t="s">
        <v>32</v>
      </c>
      <c r="B4" s="14">
        <f>IF(Datos!$B$5="","",Datos!$B$5)</f>
      </c>
      <c r="C4" s="14"/>
      <c r="D4" s="14"/>
      <c r="E4" s="14"/>
      <c r="F4" s="10" t="s">
        <v>33</v>
      </c>
      <c r="G4" s="14">
        <f>IF(Datos!$B$6="","",Datos!$B$6)</f>
      </c>
      <c r="H4" s="14"/>
      <c r="I4" s="14"/>
      <c r="N4" s="15">
        <f>INDEX(Listas!$C$2:$C$62,($D$6-2026)*12+7)</f>
      </c>
    </row>
    <row r="5" spans="1:14" x14ac:dyDescent="0.25">
      <c r="A5" s="10" t="s">
        <v>34</v>
      </c>
      <c r="B5" s="14">
        <f>IF(Datos!$B$7="","",Datos!$B$7)</f>
      </c>
      <c r="C5" s="14"/>
      <c r="D5" s="14"/>
      <c r="E5" s="14"/>
      <c r="F5" s="10" t="s">
        <v>35</v>
      </c>
      <c r="G5" s="14">
        <f>IF(Datos!$B$8="","",Datos!$B$8)</f>
      </c>
      <c r="H5" s="14"/>
      <c r="I5" s="14"/>
      <c r="N5" s="15">
        <f>INDEX(Listas!$C$2:$C$62,($D$6-2026)*12+8)</f>
      </c>
    </row>
    <row r="6" spans="1:7" x14ac:dyDescent="0.25">
      <c r="A6" s="10" t="s">
        <v>36</v>
      </c>
      <c r="B6" s="16" t="s">
        <v>62</v>
      </c>
      <c r="C6" s="10" t="s">
        <v>38</v>
      </c>
      <c r="D6" s="17">
        <f>Datos!$B$10</f>
      </c>
      <c r="F6" s="10" t="s">
        <v>39</v>
      </c>
      <c r="G6" s="18">
        <f>Datos!$B$9</f>
      </c>
    </row>
    <row r="8" ht="42" customHeight="1" spans="1:12" x14ac:dyDescent="0.25">
      <c r="A8" s="19" t="s">
        <v>40</v>
      </c>
      <c r="B8" s="19" t="s">
        <v>41</v>
      </c>
      <c r="C8" s="19" t="s">
        <v>42</v>
      </c>
      <c r="D8" s="19" t="s">
        <v>43</v>
      </c>
      <c r="E8" s="19" t="s">
        <v>44</v>
      </c>
      <c r="F8" s="19" t="s">
        <v>45</v>
      </c>
      <c r="G8" s="19" t="s">
        <v>9</v>
      </c>
      <c r="H8" s="19" t="s">
        <v>46</v>
      </c>
      <c r="I8" s="19" t="s">
        <v>11</v>
      </c>
      <c r="J8" s="19" t="s">
        <v>47</v>
      </c>
      <c r="K8" s="19" t="s">
        <v>48</v>
      </c>
      <c r="L8" s="19" t="s">
        <v>49</v>
      </c>
    </row>
    <row r="9" ht="20" customHeight="1" spans="1:12" x14ac:dyDescent="0.25">
      <c r="A9" s="20">
        <f>IF($N$4+0&lt;$N$5,$N$4+0,"")</f>
      </c>
      <c r="B9" s="21">
        <f>IF(A9="","",INDEX(Listas!$A$2:$A$8,WEEKDAY(A9))&amp;IF(COUNTIF(Feriados!$A$6:$A$49,A9)&gt;0," · feriado",""))</f>
      </c>
      <c r="C9" s="22"/>
      <c r="D9" s="22"/>
      <c r="E9" s="22"/>
      <c r="F9" s="22"/>
      <c r="G9" s="23">
        <f>IF(AND(ISNUMBER(D9),ISNUMBER(E9)),ROUND(MOD(E9-D9,1)*1440,0)/1440,"")</f>
      </c>
      <c r="H9" s="23">
        <f>IF(AND(ISNUMBER(C9),ISNUMBER(F9)),ROUND(MOD(F9-C9,1)*1440,0)/1440-N(G9),"")</f>
      </c>
      <c r="I9" s="23">
        <f>IF(H9="","",MAX(0,ROUND((H9-$G$6/24)*1440,0)/1440))</f>
      </c>
      <c r="J9" s="24">
        <f>IF(AND(ISNUMBER(C9),NOT(ISNUMBER(F9))),"Falta la salida",IF(AND(ISNUMBER(F9),NOT(ISNUMBER(C9))),"Falta el ingreso",IF(AND(ISNUMBER(G9),G9&gt;0,G9&lt;45/1440),"Refrigerio menor a 45 min","")))</f>
      </c>
      <c r="K9" s="25"/>
      <c r="L9" s="25"/>
    </row>
    <row r="10" ht="20" customHeight="1" spans="1:12" x14ac:dyDescent="0.25">
      <c r="A10" s="20">
        <f>IF($N$4+1&lt;$N$5,$N$4+1,"")</f>
      </c>
      <c r="B10" s="21">
        <f>IF(A10="","",INDEX(Listas!$A$2:$A$8,WEEKDAY(A10))&amp;IF(COUNTIF(Feriados!$A$6:$A$49,A10)&gt;0," · feriado",""))</f>
      </c>
      <c r="C10" s="22"/>
      <c r="D10" s="22"/>
      <c r="E10" s="22"/>
      <c r="F10" s="22"/>
      <c r="G10" s="23">
        <f>IF(AND(ISNUMBER(D10),ISNUMBER(E10)),ROUND(MOD(E10-D10,1)*1440,0)/1440,"")</f>
      </c>
      <c r="H10" s="23">
        <f>IF(AND(ISNUMBER(C10),ISNUMBER(F10)),ROUND(MOD(F10-C10,1)*1440,0)/1440-N(G10),"")</f>
      </c>
      <c r="I10" s="23">
        <f>IF(H10="","",MAX(0,ROUND((H10-$G$6/24)*1440,0)/1440))</f>
      </c>
      <c r="J10" s="24">
        <f>IF(AND(ISNUMBER(C10),NOT(ISNUMBER(F10))),"Falta la salida",IF(AND(ISNUMBER(F10),NOT(ISNUMBER(C10))),"Falta el ingreso",IF(AND(ISNUMBER(G10),G10&gt;0,G10&lt;45/1440),"Refrigerio menor a 45 min","")))</f>
      </c>
      <c r="K10" s="25"/>
      <c r="L10" s="25"/>
    </row>
    <row r="11" ht="20" customHeight="1" spans="1:12" x14ac:dyDescent="0.25">
      <c r="A11" s="20">
        <f>IF($N$4+2&lt;$N$5,$N$4+2,"")</f>
      </c>
      <c r="B11" s="21">
        <f>IF(A11="","",INDEX(Listas!$A$2:$A$8,WEEKDAY(A11))&amp;IF(COUNTIF(Feriados!$A$6:$A$49,A11)&gt;0," · feriado",""))</f>
      </c>
      <c r="C11" s="22"/>
      <c r="D11" s="22"/>
      <c r="E11" s="22"/>
      <c r="F11" s="22"/>
      <c r="G11" s="23">
        <f>IF(AND(ISNUMBER(D11),ISNUMBER(E11)),ROUND(MOD(E11-D11,1)*1440,0)/1440,"")</f>
      </c>
      <c r="H11" s="23">
        <f>IF(AND(ISNUMBER(C11),ISNUMBER(F11)),ROUND(MOD(F11-C11,1)*1440,0)/1440-N(G11),"")</f>
      </c>
      <c r="I11" s="23">
        <f>IF(H11="","",MAX(0,ROUND((H11-$G$6/24)*1440,0)/1440))</f>
      </c>
      <c r="J11" s="24">
        <f>IF(AND(ISNUMBER(C11),NOT(ISNUMBER(F11))),"Falta la salida",IF(AND(ISNUMBER(F11),NOT(ISNUMBER(C11))),"Falta el ingreso",IF(AND(ISNUMBER(G11),G11&gt;0,G11&lt;45/1440),"Refrigerio menor a 45 min","")))</f>
      </c>
      <c r="K11" s="25"/>
      <c r="L11" s="25"/>
    </row>
    <row r="12" ht="20" customHeight="1" spans="1:12" x14ac:dyDescent="0.25">
      <c r="A12" s="20">
        <f>IF($N$4+3&lt;$N$5,$N$4+3,"")</f>
      </c>
      <c r="B12" s="21">
        <f>IF(A12="","",INDEX(Listas!$A$2:$A$8,WEEKDAY(A12))&amp;IF(COUNTIF(Feriados!$A$6:$A$49,A12)&gt;0," · feriado",""))</f>
      </c>
      <c r="C12" s="22"/>
      <c r="D12" s="22"/>
      <c r="E12" s="22"/>
      <c r="F12" s="22"/>
      <c r="G12" s="23">
        <f>IF(AND(ISNUMBER(D12),ISNUMBER(E12)),ROUND(MOD(E12-D12,1)*1440,0)/1440,"")</f>
      </c>
      <c r="H12" s="23">
        <f>IF(AND(ISNUMBER(C12),ISNUMBER(F12)),ROUND(MOD(F12-C12,1)*1440,0)/1440-N(G12),"")</f>
      </c>
      <c r="I12" s="23">
        <f>IF(H12="","",MAX(0,ROUND((H12-$G$6/24)*1440,0)/1440))</f>
      </c>
      <c r="J12" s="24">
        <f>IF(AND(ISNUMBER(C12),NOT(ISNUMBER(F12))),"Falta la salida",IF(AND(ISNUMBER(F12),NOT(ISNUMBER(C12))),"Falta el ingreso",IF(AND(ISNUMBER(G12),G12&gt;0,G12&lt;45/1440),"Refrigerio menor a 45 min","")))</f>
      </c>
      <c r="K12" s="25"/>
      <c r="L12" s="25"/>
    </row>
    <row r="13" ht="20" customHeight="1" spans="1:12" x14ac:dyDescent="0.25">
      <c r="A13" s="20">
        <f>IF($N$4+4&lt;$N$5,$N$4+4,"")</f>
      </c>
      <c r="B13" s="21">
        <f>IF(A13="","",INDEX(Listas!$A$2:$A$8,WEEKDAY(A13))&amp;IF(COUNTIF(Feriados!$A$6:$A$49,A13)&gt;0," · feriado",""))</f>
      </c>
      <c r="C13" s="22"/>
      <c r="D13" s="22"/>
      <c r="E13" s="22"/>
      <c r="F13" s="22"/>
      <c r="G13" s="23">
        <f>IF(AND(ISNUMBER(D13),ISNUMBER(E13)),ROUND(MOD(E13-D13,1)*1440,0)/1440,"")</f>
      </c>
      <c r="H13" s="23">
        <f>IF(AND(ISNUMBER(C13),ISNUMBER(F13)),ROUND(MOD(F13-C13,1)*1440,0)/1440-N(G13),"")</f>
      </c>
      <c r="I13" s="23">
        <f>IF(H13="","",MAX(0,ROUND((H13-$G$6/24)*1440,0)/1440))</f>
      </c>
      <c r="J13" s="24">
        <f>IF(AND(ISNUMBER(C13),NOT(ISNUMBER(F13))),"Falta la salida",IF(AND(ISNUMBER(F13),NOT(ISNUMBER(C13))),"Falta el ingreso",IF(AND(ISNUMBER(G13),G13&gt;0,G13&lt;45/1440),"Refrigerio menor a 45 min","")))</f>
      </c>
      <c r="K13" s="25"/>
      <c r="L13" s="25"/>
    </row>
    <row r="14" ht="20" customHeight="1" spans="1:12" x14ac:dyDescent="0.25">
      <c r="A14" s="20">
        <f>IF($N$4+5&lt;$N$5,$N$4+5,"")</f>
      </c>
      <c r="B14" s="21">
        <f>IF(A14="","",INDEX(Listas!$A$2:$A$8,WEEKDAY(A14))&amp;IF(COUNTIF(Feriados!$A$6:$A$49,A14)&gt;0," · feriado",""))</f>
      </c>
      <c r="C14" s="22"/>
      <c r="D14" s="22"/>
      <c r="E14" s="22"/>
      <c r="F14" s="22"/>
      <c r="G14" s="23">
        <f>IF(AND(ISNUMBER(D14),ISNUMBER(E14)),ROUND(MOD(E14-D14,1)*1440,0)/1440,"")</f>
      </c>
      <c r="H14" s="23">
        <f>IF(AND(ISNUMBER(C14),ISNUMBER(F14)),ROUND(MOD(F14-C14,1)*1440,0)/1440-N(G14),"")</f>
      </c>
      <c r="I14" s="23">
        <f>IF(H14="","",MAX(0,ROUND((H14-$G$6/24)*1440,0)/1440))</f>
      </c>
      <c r="J14" s="24">
        <f>IF(AND(ISNUMBER(C14),NOT(ISNUMBER(F14))),"Falta la salida",IF(AND(ISNUMBER(F14),NOT(ISNUMBER(C14))),"Falta el ingreso",IF(AND(ISNUMBER(G14),G14&gt;0,G14&lt;45/1440),"Refrigerio menor a 45 min","")))</f>
      </c>
      <c r="K14" s="25"/>
      <c r="L14" s="25"/>
    </row>
    <row r="15" ht="20" customHeight="1" spans="1:12" x14ac:dyDescent="0.25">
      <c r="A15" s="20">
        <f>IF($N$4+6&lt;$N$5,$N$4+6,"")</f>
      </c>
      <c r="B15" s="21">
        <f>IF(A15="","",INDEX(Listas!$A$2:$A$8,WEEKDAY(A15))&amp;IF(COUNTIF(Feriados!$A$6:$A$49,A15)&gt;0," · feriado",""))</f>
      </c>
      <c r="C15" s="22"/>
      <c r="D15" s="22"/>
      <c r="E15" s="22"/>
      <c r="F15" s="22"/>
      <c r="G15" s="23">
        <f>IF(AND(ISNUMBER(D15),ISNUMBER(E15)),ROUND(MOD(E15-D15,1)*1440,0)/1440,"")</f>
      </c>
      <c r="H15" s="23">
        <f>IF(AND(ISNUMBER(C15),ISNUMBER(F15)),ROUND(MOD(F15-C15,1)*1440,0)/1440-N(G15),"")</f>
      </c>
      <c r="I15" s="23">
        <f>IF(H15="","",MAX(0,ROUND((H15-$G$6/24)*1440,0)/1440))</f>
      </c>
      <c r="J15" s="24">
        <f>IF(AND(ISNUMBER(C15),NOT(ISNUMBER(F15))),"Falta la salida",IF(AND(ISNUMBER(F15),NOT(ISNUMBER(C15))),"Falta el ingreso",IF(AND(ISNUMBER(G15),G15&gt;0,G15&lt;45/1440),"Refrigerio menor a 45 min","")))</f>
      </c>
      <c r="K15" s="25"/>
      <c r="L15" s="25"/>
    </row>
    <row r="16" ht="20" customHeight="1" spans="1:12" x14ac:dyDescent="0.25">
      <c r="A16" s="20">
        <f>IF($N$4+7&lt;$N$5,$N$4+7,"")</f>
      </c>
      <c r="B16" s="21">
        <f>IF(A16="","",INDEX(Listas!$A$2:$A$8,WEEKDAY(A16))&amp;IF(COUNTIF(Feriados!$A$6:$A$49,A16)&gt;0," · feriado",""))</f>
      </c>
      <c r="C16" s="22"/>
      <c r="D16" s="22"/>
      <c r="E16" s="22"/>
      <c r="F16" s="22"/>
      <c r="G16" s="23">
        <f>IF(AND(ISNUMBER(D16),ISNUMBER(E16)),ROUND(MOD(E16-D16,1)*1440,0)/1440,"")</f>
      </c>
      <c r="H16" s="23">
        <f>IF(AND(ISNUMBER(C16),ISNUMBER(F16)),ROUND(MOD(F16-C16,1)*1440,0)/1440-N(G16),"")</f>
      </c>
      <c r="I16" s="23">
        <f>IF(H16="","",MAX(0,ROUND((H16-$G$6/24)*1440,0)/1440))</f>
      </c>
      <c r="J16" s="24">
        <f>IF(AND(ISNUMBER(C16),NOT(ISNUMBER(F16))),"Falta la salida",IF(AND(ISNUMBER(F16),NOT(ISNUMBER(C16))),"Falta el ingreso",IF(AND(ISNUMBER(G16),G16&gt;0,G16&lt;45/1440),"Refrigerio menor a 45 min","")))</f>
      </c>
      <c r="K16" s="25"/>
      <c r="L16" s="25"/>
    </row>
    <row r="17" ht="20" customHeight="1" spans="1:12" x14ac:dyDescent="0.25">
      <c r="A17" s="20">
        <f>IF($N$4+8&lt;$N$5,$N$4+8,"")</f>
      </c>
      <c r="B17" s="21">
        <f>IF(A17="","",INDEX(Listas!$A$2:$A$8,WEEKDAY(A17))&amp;IF(COUNTIF(Feriados!$A$6:$A$49,A17)&gt;0," · feriado",""))</f>
      </c>
      <c r="C17" s="22"/>
      <c r="D17" s="22"/>
      <c r="E17" s="22"/>
      <c r="F17" s="22"/>
      <c r="G17" s="23">
        <f>IF(AND(ISNUMBER(D17),ISNUMBER(E17)),ROUND(MOD(E17-D17,1)*1440,0)/1440,"")</f>
      </c>
      <c r="H17" s="23">
        <f>IF(AND(ISNUMBER(C17),ISNUMBER(F17)),ROUND(MOD(F17-C17,1)*1440,0)/1440-N(G17),"")</f>
      </c>
      <c r="I17" s="23">
        <f>IF(H17="","",MAX(0,ROUND((H17-$G$6/24)*1440,0)/1440))</f>
      </c>
      <c r="J17" s="24">
        <f>IF(AND(ISNUMBER(C17),NOT(ISNUMBER(F17))),"Falta la salida",IF(AND(ISNUMBER(F17),NOT(ISNUMBER(C17))),"Falta el ingreso",IF(AND(ISNUMBER(G17),G17&gt;0,G17&lt;45/1440),"Refrigerio menor a 45 min","")))</f>
      </c>
      <c r="K17" s="25"/>
      <c r="L17" s="25"/>
    </row>
    <row r="18" ht="20" customHeight="1" spans="1:12" x14ac:dyDescent="0.25">
      <c r="A18" s="20">
        <f>IF($N$4+9&lt;$N$5,$N$4+9,"")</f>
      </c>
      <c r="B18" s="21">
        <f>IF(A18="","",INDEX(Listas!$A$2:$A$8,WEEKDAY(A18))&amp;IF(COUNTIF(Feriados!$A$6:$A$49,A18)&gt;0," · feriado",""))</f>
      </c>
      <c r="C18" s="22"/>
      <c r="D18" s="22"/>
      <c r="E18" s="22"/>
      <c r="F18" s="22"/>
      <c r="G18" s="23">
        <f>IF(AND(ISNUMBER(D18),ISNUMBER(E18)),ROUND(MOD(E18-D18,1)*1440,0)/1440,"")</f>
      </c>
      <c r="H18" s="23">
        <f>IF(AND(ISNUMBER(C18),ISNUMBER(F18)),ROUND(MOD(F18-C18,1)*1440,0)/1440-N(G18),"")</f>
      </c>
      <c r="I18" s="23">
        <f>IF(H18="","",MAX(0,ROUND((H18-$G$6/24)*1440,0)/1440))</f>
      </c>
      <c r="J18" s="24">
        <f>IF(AND(ISNUMBER(C18),NOT(ISNUMBER(F18))),"Falta la salida",IF(AND(ISNUMBER(F18),NOT(ISNUMBER(C18))),"Falta el ingreso",IF(AND(ISNUMBER(G18),G18&gt;0,G18&lt;45/1440),"Refrigerio menor a 45 min","")))</f>
      </c>
      <c r="K18" s="25"/>
      <c r="L18" s="25"/>
    </row>
    <row r="19" ht="20" customHeight="1" spans="1:12" x14ac:dyDescent="0.25">
      <c r="A19" s="20">
        <f>IF($N$4+10&lt;$N$5,$N$4+10,"")</f>
      </c>
      <c r="B19" s="21">
        <f>IF(A19="","",INDEX(Listas!$A$2:$A$8,WEEKDAY(A19))&amp;IF(COUNTIF(Feriados!$A$6:$A$49,A19)&gt;0," · feriado",""))</f>
      </c>
      <c r="C19" s="22"/>
      <c r="D19" s="22"/>
      <c r="E19" s="22"/>
      <c r="F19" s="22"/>
      <c r="G19" s="23">
        <f>IF(AND(ISNUMBER(D19),ISNUMBER(E19)),ROUND(MOD(E19-D19,1)*1440,0)/1440,"")</f>
      </c>
      <c r="H19" s="23">
        <f>IF(AND(ISNUMBER(C19),ISNUMBER(F19)),ROUND(MOD(F19-C19,1)*1440,0)/1440-N(G19),"")</f>
      </c>
      <c r="I19" s="23">
        <f>IF(H19="","",MAX(0,ROUND((H19-$G$6/24)*1440,0)/1440))</f>
      </c>
      <c r="J19" s="24">
        <f>IF(AND(ISNUMBER(C19),NOT(ISNUMBER(F19))),"Falta la salida",IF(AND(ISNUMBER(F19),NOT(ISNUMBER(C19))),"Falta el ingreso",IF(AND(ISNUMBER(G19),G19&gt;0,G19&lt;45/1440),"Refrigerio menor a 45 min","")))</f>
      </c>
      <c r="K19" s="25"/>
      <c r="L19" s="25"/>
    </row>
    <row r="20" ht="20" customHeight="1" spans="1:12" x14ac:dyDescent="0.25">
      <c r="A20" s="20">
        <f>IF($N$4+11&lt;$N$5,$N$4+11,"")</f>
      </c>
      <c r="B20" s="21">
        <f>IF(A20="","",INDEX(Listas!$A$2:$A$8,WEEKDAY(A20))&amp;IF(COUNTIF(Feriados!$A$6:$A$49,A20)&gt;0," · feriado",""))</f>
      </c>
      <c r="C20" s="22"/>
      <c r="D20" s="22"/>
      <c r="E20" s="22"/>
      <c r="F20" s="22"/>
      <c r="G20" s="23">
        <f>IF(AND(ISNUMBER(D20),ISNUMBER(E20)),ROUND(MOD(E20-D20,1)*1440,0)/1440,"")</f>
      </c>
      <c r="H20" s="23">
        <f>IF(AND(ISNUMBER(C20),ISNUMBER(F20)),ROUND(MOD(F20-C20,1)*1440,0)/1440-N(G20),"")</f>
      </c>
      <c r="I20" s="23">
        <f>IF(H20="","",MAX(0,ROUND((H20-$G$6/24)*1440,0)/1440))</f>
      </c>
      <c r="J20" s="24">
        <f>IF(AND(ISNUMBER(C20),NOT(ISNUMBER(F20))),"Falta la salida",IF(AND(ISNUMBER(F20),NOT(ISNUMBER(C20))),"Falta el ingreso",IF(AND(ISNUMBER(G20),G20&gt;0,G20&lt;45/1440),"Refrigerio menor a 45 min","")))</f>
      </c>
      <c r="K20" s="25"/>
      <c r="L20" s="25"/>
    </row>
    <row r="21" ht="20" customHeight="1" spans="1:12" x14ac:dyDescent="0.25">
      <c r="A21" s="20">
        <f>IF($N$4+12&lt;$N$5,$N$4+12,"")</f>
      </c>
      <c r="B21" s="21">
        <f>IF(A21="","",INDEX(Listas!$A$2:$A$8,WEEKDAY(A21))&amp;IF(COUNTIF(Feriados!$A$6:$A$49,A21)&gt;0," · feriado",""))</f>
      </c>
      <c r="C21" s="22"/>
      <c r="D21" s="22"/>
      <c r="E21" s="22"/>
      <c r="F21" s="22"/>
      <c r="G21" s="23">
        <f>IF(AND(ISNUMBER(D21),ISNUMBER(E21)),ROUND(MOD(E21-D21,1)*1440,0)/1440,"")</f>
      </c>
      <c r="H21" s="23">
        <f>IF(AND(ISNUMBER(C21),ISNUMBER(F21)),ROUND(MOD(F21-C21,1)*1440,0)/1440-N(G21),"")</f>
      </c>
      <c r="I21" s="23">
        <f>IF(H21="","",MAX(0,ROUND((H21-$G$6/24)*1440,0)/1440))</f>
      </c>
      <c r="J21" s="24">
        <f>IF(AND(ISNUMBER(C21),NOT(ISNUMBER(F21))),"Falta la salida",IF(AND(ISNUMBER(F21),NOT(ISNUMBER(C21))),"Falta el ingreso",IF(AND(ISNUMBER(G21),G21&gt;0,G21&lt;45/1440),"Refrigerio menor a 45 min","")))</f>
      </c>
      <c r="K21" s="25"/>
      <c r="L21" s="25"/>
    </row>
    <row r="22" ht="20" customHeight="1" spans="1:12" x14ac:dyDescent="0.25">
      <c r="A22" s="20">
        <f>IF($N$4+13&lt;$N$5,$N$4+13,"")</f>
      </c>
      <c r="B22" s="21">
        <f>IF(A22="","",INDEX(Listas!$A$2:$A$8,WEEKDAY(A22))&amp;IF(COUNTIF(Feriados!$A$6:$A$49,A22)&gt;0," · feriado",""))</f>
      </c>
      <c r="C22" s="22"/>
      <c r="D22" s="22"/>
      <c r="E22" s="22"/>
      <c r="F22" s="22"/>
      <c r="G22" s="23">
        <f>IF(AND(ISNUMBER(D22),ISNUMBER(E22)),ROUND(MOD(E22-D22,1)*1440,0)/1440,"")</f>
      </c>
      <c r="H22" s="23">
        <f>IF(AND(ISNUMBER(C22),ISNUMBER(F22)),ROUND(MOD(F22-C22,1)*1440,0)/1440-N(G22),"")</f>
      </c>
      <c r="I22" s="23">
        <f>IF(H22="","",MAX(0,ROUND((H22-$G$6/24)*1440,0)/1440))</f>
      </c>
      <c r="J22" s="24">
        <f>IF(AND(ISNUMBER(C22),NOT(ISNUMBER(F22))),"Falta la salida",IF(AND(ISNUMBER(F22),NOT(ISNUMBER(C22))),"Falta el ingreso",IF(AND(ISNUMBER(G22),G22&gt;0,G22&lt;45/1440),"Refrigerio menor a 45 min","")))</f>
      </c>
      <c r="K22" s="25"/>
      <c r="L22" s="25"/>
    </row>
    <row r="23" ht="20" customHeight="1" spans="1:12" x14ac:dyDescent="0.25">
      <c r="A23" s="20">
        <f>IF($N$4+14&lt;$N$5,$N$4+14,"")</f>
      </c>
      <c r="B23" s="21">
        <f>IF(A23="","",INDEX(Listas!$A$2:$A$8,WEEKDAY(A23))&amp;IF(COUNTIF(Feriados!$A$6:$A$49,A23)&gt;0," · feriado",""))</f>
      </c>
      <c r="C23" s="22"/>
      <c r="D23" s="22"/>
      <c r="E23" s="22"/>
      <c r="F23" s="22"/>
      <c r="G23" s="23">
        <f>IF(AND(ISNUMBER(D23),ISNUMBER(E23)),ROUND(MOD(E23-D23,1)*1440,0)/1440,"")</f>
      </c>
      <c r="H23" s="23">
        <f>IF(AND(ISNUMBER(C23),ISNUMBER(F23)),ROUND(MOD(F23-C23,1)*1440,0)/1440-N(G23),"")</f>
      </c>
      <c r="I23" s="23">
        <f>IF(H23="","",MAX(0,ROUND((H23-$G$6/24)*1440,0)/1440))</f>
      </c>
      <c r="J23" s="24">
        <f>IF(AND(ISNUMBER(C23),NOT(ISNUMBER(F23))),"Falta la salida",IF(AND(ISNUMBER(F23),NOT(ISNUMBER(C23))),"Falta el ingreso",IF(AND(ISNUMBER(G23),G23&gt;0,G23&lt;45/1440),"Refrigerio menor a 45 min","")))</f>
      </c>
      <c r="K23" s="25"/>
      <c r="L23" s="25"/>
    </row>
    <row r="24" ht="20" customHeight="1" spans="1:12" x14ac:dyDescent="0.25">
      <c r="A24" s="20">
        <f>IF($N$4+15&lt;$N$5,$N$4+15,"")</f>
      </c>
      <c r="B24" s="21">
        <f>IF(A24="","",INDEX(Listas!$A$2:$A$8,WEEKDAY(A24))&amp;IF(COUNTIF(Feriados!$A$6:$A$49,A24)&gt;0," · feriado",""))</f>
      </c>
      <c r="C24" s="22"/>
      <c r="D24" s="22"/>
      <c r="E24" s="22"/>
      <c r="F24" s="22"/>
      <c r="G24" s="23">
        <f>IF(AND(ISNUMBER(D24),ISNUMBER(E24)),ROUND(MOD(E24-D24,1)*1440,0)/1440,"")</f>
      </c>
      <c r="H24" s="23">
        <f>IF(AND(ISNUMBER(C24),ISNUMBER(F24)),ROUND(MOD(F24-C24,1)*1440,0)/1440-N(G24),"")</f>
      </c>
      <c r="I24" s="23">
        <f>IF(H24="","",MAX(0,ROUND((H24-$G$6/24)*1440,0)/1440))</f>
      </c>
      <c r="J24" s="24">
        <f>IF(AND(ISNUMBER(C24),NOT(ISNUMBER(F24))),"Falta la salida",IF(AND(ISNUMBER(F24),NOT(ISNUMBER(C24))),"Falta el ingreso",IF(AND(ISNUMBER(G24),G24&gt;0,G24&lt;45/1440),"Refrigerio menor a 45 min","")))</f>
      </c>
      <c r="K24" s="25"/>
      <c r="L24" s="25"/>
    </row>
    <row r="25" ht="20" customHeight="1" spans="1:12" x14ac:dyDescent="0.25">
      <c r="A25" s="20">
        <f>IF($N$4+16&lt;$N$5,$N$4+16,"")</f>
      </c>
      <c r="B25" s="21">
        <f>IF(A25="","",INDEX(Listas!$A$2:$A$8,WEEKDAY(A25))&amp;IF(COUNTIF(Feriados!$A$6:$A$49,A25)&gt;0," · feriado",""))</f>
      </c>
      <c r="C25" s="22"/>
      <c r="D25" s="22"/>
      <c r="E25" s="22"/>
      <c r="F25" s="22"/>
      <c r="G25" s="23">
        <f>IF(AND(ISNUMBER(D25),ISNUMBER(E25)),ROUND(MOD(E25-D25,1)*1440,0)/1440,"")</f>
      </c>
      <c r="H25" s="23">
        <f>IF(AND(ISNUMBER(C25),ISNUMBER(F25)),ROUND(MOD(F25-C25,1)*1440,0)/1440-N(G25),"")</f>
      </c>
      <c r="I25" s="23">
        <f>IF(H25="","",MAX(0,ROUND((H25-$G$6/24)*1440,0)/1440))</f>
      </c>
      <c r="J25" s="24">
        <f>IF(AND(ISNUMBER(C25),NOT(ISNUMBER(F25))),"Falta la salida",IF(AND(ISNUMBER(F25),NOT(ISNUMBER(C25))),"Falta el ingreso",IF(AND(ISNUMBER(G25),G25&gt;0,G25&lt;45/1440),"Refrigerio menor a 45 min","")))</f>
      </c>
      <c r="K25" s="25"/>
      <c r="L25" s="25"/>
    </row>
    <row r="26" ht="20" customHeight="1" spans="1:12" x14ac:dyDescent="0.25">
      <c r="A26" s="20">
        <f>IF($N$4+17&lt;$N$5,$N$4+17,"")</f>
      </c>
      <c r="B26" s="21">
        <f>IF(A26="","",INDEX(Listas!$A$2:$A$8,WEEKDAY(A26))&amp;IF(COUNTIF(Feriados!$A$6:$A$49,A26)&gt;0," · feriado",""))</f>
      </c>
      <c r="C26" s="22"/>
      <c r="D26" s="22"/>
      <c r="E26" s="22"/>
      <c r="F26" s="22"/>
      <c r="G26" s="23">
        <f>IF(AND(ISNUMBER(D26),ISNUMBER(E26)),ROUND(MOD(E26-D26,1)*1440,0)/1440,"")</f>
      </c>
      <c r="H26" s="23">
        <f>IF(AND(ISNUMBER(C26),ISNUMBER(F26)),ROUND(MOD(F26-C26,1)*1440,0)/1440-N(G26),"")</f>
      </c>
      <c r="I26" s="23">
        <f>IF(H26="","",MAX(0,ROUND((H26-$G$6/24)*1440,0)/1440))</f>
      </c>
      <c r="J26" s="24">
        <f>IF(AND(ISNUMBER(C26),NOT(ISNUMBER(F26))),"Falta la salida",IF(AND(ISNUMBER(F26),NOT(ISNUMBER(C26))),"Falta el ingreso",IF(AND(ISNUMBER(G26),G26&gt;0,G26&lt;45/1440),"Refrigerio menor a 45 min","")))</f>
      </c>
      <c r="K26" s="25"/>
      <c r="L26" s="25"/>
    </row>
    <row r="27" ht="20" customHeight="1" spans="1:12" x14ac:dyDescent="0.25">
      <c r="A27" s="20">
        <f>IF($N$4+18&lt;$N$5,$N$4+18,"")</f>
      </c>
      <c r="B27" s="21">
        <f>IF(A27="","",INDEX(Listas!$A$2:$A$8,WEEKDAY(A27))&amp;IF(COUNTIF(Feriados!$A$6:$A$49,A27)&gt;0," · feriado",""))</f>
      </c>
      <c r="C27" s="22"/>
      <c r="D27" s="22"/>
      <c r="E27" s="22"/>
      <c r="F27" s="22"/>
      <c r="G27" s="23">
        <f>IF(AND(ISNUMBER(D27),ISNUMBER(E27)),ROUND(MOD(E27-D27,1)*1440,0)/1440,"")</f>
      </c>
      <c r="H27" s="23">
        <f>IF(AND(ISNUMBER(C27),ISNUMBER(F27)),ROUND(MOD(F27-C27,1)*1440,0)/1440-N(G27),"")</f>
      </c>
      <c r="I27" s="23">
        <f>IF(H27="","",MAX(0,ROUND((H27-$G$6/24)*1440,0)/1440))</f>
      </c>
      <c r="J27" s="24">
        <f>IF(AND(ISNUMBER(C27),NOT(ISNUMBER(F27))),"Falta la salida",IF(AND(ISNUMBER(F27),NOT(ISNUMBER(C27))),"Falta el ingreso",IF(AND(ISNUMBER(G27),G27&gt;0,G27&lt;45/1440),"Refrigerio menor a 45 min","")))</f>
      </c>
      <c r="K27" s="25"/>
      <c r="L27" s="25"/>
    </row>
    <row r="28" ht="20" customHeight="1" spans="1:12" x14ac:dyDescent="0.25">
      <c r="A28" s="20">
        <f>IF($N$4+19&lt;$N$5,$N$4+19,"")</f>
      </c>
      <c r="B28" s="21">
        <f>IF(A28="","",INDEX(Listas!$A$2:$A$8,WEEKDAY(A28))&amp;IF(COUNTIF(Feriados!$A$6:$A$49,A28)&gt;0," · feriado",""))</f>
      </c>
      <c r="C28" s="22"/>
      <c r="D28" s="22"/>
      <c r="E28" s="22"/>
      <c r="F28" s="22"/>
      <c r="G28" s="23">
        <f>IF(AND(ISNUMBER(D28),ISNUMBER(E28)),ROUND(MOD(E28-D28,1)*1440,0)/1440,"")</f>
      </c>
      <c r="H28" s="23">
        <f>IF(AND(ISNUMBER(C28),ISNUMBER(F28)),ROUND(MOD(F28-C28,1)*1440,0)/1440-N(G28),"")</f>
      </c>
      <c r="I28" s="23">
        <f>IF(H28="","",MAX(0,ROUND((H28-$G$6/24)*1440,0)/1440))</f>
      </c>
      <c r="J28" s="24">
        <f>IF(AND(ISNUMBER(C28),NOT(ISNUMBER(F28))),"Falta la salida",IF(AND(ISNUMBER(F28),NOT(ISNUMBER(C28))),"Falta el ingreso",IF(AND(ISNUMBER(G28),G28&gt;0,G28&lt;45/1440),"Refrigerio menor a 45 min","")))</f>
      </c>
      <c r="K28" s="25"/>
      <c r="L28" s="25"/>
    </row>
    <row r="29" ht="20" customHeight="1" spans="1:12" x14ac:dyDescent="0.25">
      <c r="A29" s="20">
        <f>IF($N$4+20&lt;$N$5,$N$4+20,"")</f>
      </c>
      <c r="B29" s="21">
        <f>IF(A29="","",INDEX(Listas!$A$2:$A$8,WEEKDAY(A29))&amp;IF(COUNTIF(Feriados!$A$6:$A$49,A29)&gt;0," · feriado",""))</f>
      </c>
      <c r="C29" s="22"/>
      <c r="D29" s="22"/>
      <c r="E29" s="22"/>
      <c r="F29" s="22"/>
      <c r="G29" s="23">
        <f>IF(AND(ISNUMBER(D29),ISNUMBER(E29)),ROUND(MOD(E29-D29,1)*1440,0)/1440,"")</f>
      </c>
      <c r="H29" s="23">
        <f>IF(AND(ISNUMBER(C29),ISNUMBER(F29)),ROUND(MOD(F29-C29,1)*1440,0)/1440-N(G29),"")</f>
      </c>
      <c r="I29" s="23">
        <f>IF(H29="","",MAX(0,ROUND((H29-$G$6/24)*1440,0)/1440))</f>
      </c>
      <c r="J29" s="24">
        <f>IF(AND(ISNUMBER(C29),NOT(ISNUMBER(F29))),"Falta la salida",IF(AND(ISNUMBER(F29),NOT(ISNUMBER(C29))),"Falta el ingreso",IF(AND(ISNUMBER(G29),G29&gt;0,G29&lt;45/1440),"Refrigerio menor a 45 min","")))</f>
      </c>
      <c r="K29" s="25"/>
      <c r="L29" s="25"/>
    </row>
    <row r="30" ht="20" customHeight="1" spans="1:12" x14ac:dyDescent="0.25">
      <c r="A30" s="20">
        <f>IF($N$4+21&lt;$N$5,$N$4+21,"")</f>
      </c>
      <c r="B30" s="21">
        <f>IF(A30="","",INDEX(Listas!$A$2:$A$8,WEEKDAY(A30))&amp;IF(COUNTIF(Feriados!$A$6:$A$49,A30)&gt;0," · feriado",""))</f>
      </c>
      <c r="C30" s="22"/>
      <c r="D30" s="22"/>
      <c r="E30" s="22"/>
      <c r="F30" s="22"/>
      <c r="G30" s="23">
        <f>IF(AND(ISNUMBER(D30),ISNUMBER(E30)),ROUND(MOD(E30-D30,1)*1440,0)/1440,"")</f>
      </c>
      <c r="H30" s="23">
        <f>IF(AND(ISNUMBER(C30),ISNUMBER(F30)),ROUND(MOD(F30-C30,1)*1440,0)/1440-N(G30),"")</f>
      </c>
      <c r="I30" s="23">
        <f>IF(H30="","",MAX(0,ROUND((H30-$G$6/24)*1440,0)/1440))</f>
      </c>
      <c r="J30" s="24">
        <f>IF(AND(ISNUMBER(C30),NOT(ISNUMBER(F30))),"Falta la salida",IF(AND(ISNUMBER(F30),NOT(ISNUMBER(C30))),"Falta el ingreso",IF(AND(ISNUMBER(G30),G30&gt;0,G30&lt;45/1440),"Refrigerio menor a 45 min","")))</f>
      </c>
      <c r="K30" s="25"/>
      <c r="L30" s="25"/>
    </row>
    <row r="31" ht="20" customHeight="1" spans="1:12" x14ac:dyDescent="0.25">
      <c r="A31" s="20">
        <f>IF($N$4+22&lt;$N$5,$N$4+22,"")</f>
      </c>
      <c r="B31" s="21">
        <f>IF(A31="","",INDEX(Listas!$A$2:$A$8,WEEKDAY(A31))&amp;IF(COUNTIF(Feriados!$A$6:$A$49,A31)&gt;0," · feriado",""))</f>
      </c>
      <c r="C31" s="22"/>
      <c r="D31" s="22"/>
      <c r="E31" s="22"/>
      <c r="F31" s="22"/>
      <c r="G31" s="23">
        <f>IF(AND(ISNUMBER(D31),ISNUMBER(E31)),ROUND(MOD(E31-D31,1)*1440,0)/1440,"")</f>
      </c>
      <c r="H31" s="23">
        <f>IF(AND(ISNUMBER(C31),ISNUMBER(F31)),ROUND(MOD(F31-C31,1)*1440,0)/1440-N(G31),"")</f>
      </c>
      <c r="I31" s="23">
        <f>IF(H31="","",MAX(0,ROUND((H31-$G$6/24)*1440,0)/1440))</f>
      </c>
      <c r="J31" s="24">
        <f>IF(AND(ISNUMBER(C31),NOT(ISNUMBER(F31))),"Falta la salida",IF(AND(ISNUMBER(F31),NOT(ISNUMBER(C31))),"Falta el ingreso",IF(AND(ISNUMBER(G31),G31&gt;0,G31&lt;45/1440),"Refrigerio menor a 45 min","")))</f>
      </c>
      <c r="K31" s="25"/>
      <c r="L31" s="25"/>
    </row>
    <row r="32" ht="20" customHeight="1" spans="1:12" x14ac:dyDescent="0.25">
      <c r="A32" s="20">
        <f>IF($N$4+23&lt;$N$5,$N$4+23,"")</f>
      </c>
      <c r="B32" s="21">
        <f>IF(A32="","",INDEX(Listas!$A$2:$A$8,WEEKDAY(A32))&amp;IF(COUNTIF(Feriados!$A$6:$A$49,A32)&gt;0," · feriado",""))</f>
      </c>
      <c r="C32" s="22"/>
      <c r="D32" s="22"/>
      <c r="E32" s="22"/>
      <c r="F32" s="22"/>
      <c r="G32" s="23">
        <f>IF(AND(ISNUMBER(D32),ISNUMBER(E32)),ROUND(MOD(E32-D32,1)*1440,0)/1440,"")</f>
      </c>
      <c r="H32" s="23">
        <f>IF(AND(ISNUMBER(C32),ISNUMBER(F32)),ROUND(MOD(F32-C32,1)*1440,0)/1440-N(G32),"")</f>
      </c>
      <c r="I32" s="23">
        <f>IF(H32="","",MAX(0,ROUND((H32-$G$6/24)*1440,0)/1440))</f>
      </c>
      <c r="J32" s="24">
        <f>IF(AND(ISNUMBER(C32),NOT(ISNUMBER(F32))),"Falta la salida",IF(AND(ISNUMBER(F32),NOT(ISNUMBER(C32))),"Falta el ingreso",IF(AND(ISNUMBER(G32),G32&gt;0,G32&lt;45/1440),"Refrigerio menor a 45 min","")))</f>
      </c>
      <c r="K32" s="25"/>
      <c r="L32" s="25"/>
    </row>
    <row r="33" ht="20" customHeight="1" spans="1:12" x14ac:dyDescent="0.25">
      <c r="A33" s="20">
        <f>IF($N$4+24&lt;$N$5,$N$4+24,"")</f>
      </c>
      <c r="B33" s="21">
        <f>IF(A33="","",INDEX(Listas!$A$2:$A$8,WEEKDAY(A33))&amp;IF(COUNTIF(Feriados!$A$6:$A$49,A33)&gt;0," · feriado",""))</f>
      </c>
      <c r="C33" s="22"/>
      <c r="D33" s="22"/>
      <c r="E33" s="22"/>
      <c r="F33" s="22"/>
      <c r="G33" s="23">
        <f>IF(AND(ISNUMBER(D33),ISNUMBER(E33)),ROUND(MOD(E33-D33,1)*1440,0)/1440,"")</f>
      </c>
      <c r="H33" s="23">
        <f>IF(AND(ISNUMBER(C33),ISNUMBER(F33)),ROUND(MOD(F33-C33,1)*1440,0)/1440-N(G33),"")</f>
      </c>
      <c r="I33" s="23">
        <f>IF(H33="","",MAX(0,ROUND((H33-$G$6/24)*1440,0)/1440))</f>
      </c>
      <c r="J33" s="24">
        <f>IF(AND(ISNUMBER(C33),NOT(ISNUMBER(F33))),"Falta la salida",IF(AND(ISNUMBER(F33),NOT(ISNUMBER(C33))),"Falta el ingreso",IF(AND(ISNUMBER(G33),G33&gt;0,G33&lt;45/1440),"Refrigerio menor a 45 min","")))</f>
      </c>
      <c r="K33" s="25"/>
      <c r="L33" s="25"/>
    </row>
    <row r="34" ht="20" customHeight="1" spans="1:12" x14ac:dyDescent="0.25">
      <c r="A34" s="20">
        <f>IF($N$4+25&lt;$N$5,$N$4+25,"")</f>
      </c>
      <c r="B34" s="21">
        <f>IF(A34="","",INDEX(Listas!$A$2:$A$8,WEEKDAY(A34))&amp;IF(COUNTIF(Feriados!$A$6:$A$49,A34)&gt;0," · feriado",""))</f>
      </c>
      <c r="C34" s="22"/>
      <c r="D34" s="22"/>
      <c r="E34" s="22"/>
      <c r="F34" s="22"/>
      <c r="G34" s="23">
        <f>IF(AND(ISNUMBER(D34),ISNUMBER(E34)),ROUND(MOD(E34-D34,1)*1440,0)/1440,"")</f>
      </c>
      <c r="H34" s="23">
        <f>IF(AND(ISNUMBER(C34),ISNUMBER(F34)),ROUND(MOD(F34-C34,1)*1440,0)/1440-N(G34),"")</f>
      </c>
      <c r="I34" s="23">
        <f>IF(H34="","",MAX(0,ROUND((H34-$G$6/24)*1440,0)/1440))</f>
      </c>
      <c r="J34" s="24">
        <f>IF(AND(ISNUMBER(C34),NOT(ISNUMBER(F34))),"Falta la salida",IF(AND(ISNUMBER(F34),NOT(ISNUMBER(C34))),"Falta el ingreso",IF(AND(ISNUMBER(G34),G34&gt;0,G34&lt;45/1440),"Refrigerio menor a 45 min","")))</f>
      </c>
      <c r="K34" s="25"/>
      <c r="L34" s="25"/>
    </row>
    <row r="35" ht="20" customHeight="1" spans="1:12" x14ac:dyDescent="0.25">
      <c r="A35" s="20">
        <f>IF($N$4+26&lt;$N$5,$N$4+26,"")</f>
      </c>
      <c r="B35" s="21">
        <f>IF(A35="","",INDEX(Listas!$A$2:$A$8,WEEKDAY(A35))&amp;IF(COUNTIF(Feriados!$A$6:$A$49,A35)&gt;0," · feriado",""))</f>
      </c>
      <c r="C35" s="22"/>
      <c r="D35" s="22"/>
      <c r="E35" s="22"/>
      <c r="F35" s="22"/>
      <c r="G35" s="23">
        <f>IF(AND(ISNUMBER(D35),ISNUMBER(E35)),ROUND(MOD(E35-D35,1)*1440,0)/1440,"")</f>
      </c>
      <c r="H35" s="23">
        <f>IF(AND(ISNUMBER(C35),ISNUMBER(F35)),ROUND(MOD(F35-C35,1)*1440,0)/1440-N(G35),"")</f>
      </c>
      <c r="I35" s="23">
        <f>IF(H35="","",MAX(0,ROUND((H35-$G$6/24)*1440,0)/1440))</f>
      </c>
      <c r="J35" s="24">
        <f>IF(AND(ISNUMBER(C35),NOT(ISNUMBER(F35))),"Falta la salida",IF(AND(ISNUMBER(F35),NOT(ISNUMBER(C35))),"Falta el ingreso",IF(AND(ISNUMBER(G35),G35&gt;0,G35&lt;45/1440),"Refrigerio menor a 45 min","")))</f>
      </c>
      <c r="K35" s="25"/>
      <c r="L35" s="25"/>
    </row>
    <row r="36" ht="20" customHeight="1" spans="1:12" x14ac:dyDescent="0.25">
      <c r="A36" s="20">
        <f>IF($N$4+27&lt;$N$5,$N$4+27,"")</f>
      </c>
      <c r="B36" s="21">
        <f>IF(A36="","",INDEX(Listas!$A$2:$A$8,WEEKDAY(A36))&amp;IF(COUNTIF(Feriados!$A$6:$A$49,A36)&gt;0," · feriado",""))</f>
      </c>
      <c r="C36" s="22"/>
      <c r="D36" s="22"/>
      <c r="E36" s="22"/>
      <c r="F36" s="22"/>
      <c r="G36" s="23">
        <f>IF(AND(ISNUMBER(D36),ISNUMBER(E36)),ROUND(MOD(E36-D36,1)*1440,0)/1440,"")</f>
      </c>
      <c r="H36" s="23">
        <f>IF(AND(ISNUMBER(C36),ISNUMBER(F36)),ROUND(MOD(F36-C36,1)*1440,0)/1440-N(G36),"")</f>
      </c>
      <c r="I36" s="23">
        <f>IF(H36="","",MAX(0,ROUND((H36-$G$6/24)*1440,0)/1440))</f>
      </c>
      <c r="J36" s="24">
        <f>IF(AND(ISNUMBER(C36),NOT(ISNUMBER(F36))),"Falta la salida",IF(AND(ISNUMBER(F36),NOT(ISNUMBER(C36))),"Falta el ingreso",IF(AND(ISNUMBER(G36),G36&gt;0,G36&lt;45/1440),"Refrigerio menor a 45 min","")))</f>
      </c>
      <c r="K36" s="25"/>
      <c r="L36" s="25"/>
    </row>
    <row r="37" ht="20" customHeight="1" spans="1:12" x14ac:dyDescent="0.25">
      <c r="A37" s="20">
        <f>IF($N$4+28&lt;$N$5,$N$4+28,"")</f>
      </c>
      <c r="B37" s="21">
        <f>IF(A37="","",INDEX(Listas!$A$2:$A$8,WEEKDAY(A37))&amp;IF(COUNTIF(Feriados!$A$6:$A$49,A37)&gt;0," · feriado",""))</f>
      </c>
      <c r="C37" s="22"/>
      <c r="D37" s="22"/>
      <c r="E37" s="22"/>
      <c r="F37" s="22"/>
      <c r="G37" s="23">
        <f>IF(AND(ISNUMBER(D37),ISNUMBER(E37)),ROUND(MOD(E37-D37,1)*1440,0)/1440,"")</f>
      </c>
      <c r="H37" s="23">
        <f>IF(AND(ISNUMBER(C37),ISNUMBER(F37)),ROUND(MOD(F37-C37,1)*1440,0)/1440-N(G37),"")</f>
      </c>
      <c r="I37" s="23">
        <f>IF(H37="","",MAX(0,ROUND((H37-$G$6/24)*1440,0)/1440))</f>
      </c>
      <c r="J37" s="24">
        <f>IF(AND(ISNUMBER(C37),NOT(ISNUMBER(F37))),"Falta la salida",IF(AND(ISNUMBER(F37),NOT(ISNUMBER(C37))),"Falta el ingreso",IF(AND(ISNUMBER(G37),G37&gt;0,G37&lt;45/1440),"Refrigerio menor a 45 min","")))</f>
      </c>
      <c r="K37" s="25"/>
      <c r="L37" s="25"/>
    </row>
    <row r="38" ht="20" customHeight="1" spans="1:12" x14ac:dyDescent="0.25">
      <c r="A38" s="20">
        <f>IF($N$4+29&lt;$N$5,$N$4+29,"")</f>
      </c>
      <c r="B38" s="21">
        <f>IF(A38="","",INDEX(Listas!$A$2:$A$8,WEEKDAY(A38))&amp;IF(COUNTIF(Feriados!$A$6:$A$49,A38)&gt;0," · feriado",""))</f>
      </c>
      <c r="C38" s="22"/>
      <c r="D38" s="22"/>
      <c r="E38" s="22"/>
      <c r="F38" s="22"/>
      <c r="G38" s="23">
        <f>IF(AND(ISNUMBER(D38),ISNUMBER(E38)),ROUND(MOD(E38-D38,1)*1440,0)/1440,"")</f>
      </c>
      <c r="H38" s="23">
        <f>IF(AND(ISNUMBER(C38),ISNUMBER(F38)),ROUND(MOD(F38-C38,1)*1440,0)/1440-N(G38),"")</f>
      </c>
      <c r="I38" s="23">
        <f>IF(H38="","",MAX(0,ROUND((H38-$G$6/24)*1440,0)/1440))</f>
      </c>
      <c r="J38" s="24">
        <f>IF(AND(ISNUMBER(C38),NOT(ISNUMBER(F38))),"Falta la salida",IF(AND(ISNUMBER(F38),NOT(ISNUMBER(C38))),"Falta el ingreso",IF(AND(ISNUMBER(G38),G38&gt;0,G38&lt;45/1440),"Refrigerio menor a 45 min","")))</f>
      </c>
      <c r="K38" s="25"/>
      <c r="L38" s="25"/>
    </row>
    <row r="39" ht="20" customHeight="1" spans="1:12" x14ac:dyDescent="0.25">
      <c r="A39" s="20">
        <f>IF($N$4+30&lt;$N$5,$N$4+30,"")</f>
      </c>
      <c r="B39" s="21">
        <f>IF(A39="","",INDEX(Listas!$A$2:$A$8,WEEKDAY(A39))&amp;IF(COUNTIF(Feriados!$A$6:$A$49,A39)&gt;0," · feriado",""))</f>
      </c>
      <c r="C39" s="22"/>
      <c r="D39" s="22"/>
      <c r="E39" s="22"/>
      <c r="F39" s="22"/>
      <c r="G39" s="23">
        <f>IF(AND(ISNUMBER(D39),ISNUMBER(E39)),ROUND(MOD(E39-D39,1)*1440,0)/1440,"")</f>
      </c>
      <c r="H39" s="23">
        <f>IF(AND(ISNUMBER(C39),ISNUMBER(F39)),ROUND(MOD(F39-C39,1)*1440,0)/1440-N(G39),"")</f>
      </c>
      <c r="I39" s="23">
        <f>IF(H39="","",MAX(0,ROUND((H39-$G$6/24)*1440,0)/1440))</f>
      </c>
      <c r="J39" s="24">
        <f>IF(AND(ISNUMBER(C39),NOT(ISNUMBER(F39))),"Falta la salida",IF(AND(ISNUMBER(F39),NOT(ISNUMBER(C39))),"Falta el ingreso",IF(AND(ISNUMBER(G39),G39&gt;0,G39&lt;45/1440),"Refrigerio menor a 45 min","")))</f>
      </c>
      <c r="K39" s="25"/>
      <c r="L39" s="25"/>
    </row>
    <row r="40" spans="7:9" x14ac:dyDescent="0.25">
      <c r="G40" s="16" t="s">
        <v>50</v>
      </c>
      <c r="H40" s="26">
        <f>SUM(H9:H39)</f>
      </c>
      <c r="I40" s="26">
        <f>SUM(I9:I39)</f>
      </c>
    </row>
    <row r="42" spans="1:1" x14ac:dyDescent="0.25">
      <c r="A42" s="6" t="s">
        <v>17</v>
      </c>
    </row>
    <row r="43" spans="1:1" x14ac:dyDescent="0.25">
      <c r="A43" s="7" t="s">
        <v>18</v>
      </c>
    </row>
    <row r="44" spans="1:1" x14ac:dyDescent="0.25">
      <c r="A44" s="8" t="s">
        <v>19</v>
      </c>
    </row>
    <row r="45" spans="1:1" x14ac:dyDescent="0.25">
      <c r="A45" s="7" t="s">
        <v>20</v>
      </c>
    </row>
  </sheetData>
  <mergeCells count="7">
    <mergeCell ref="A1:L1"/>
    <mergeCell ref="A2:L2"/>
    <mergeCell ref="A3:L3"/>
    <mergeCell ref="B4:E4"/>
    <mergeCell ref="G4:I4"/>
    <mergeCell ref="B5:E5"/>
    <mergeCell ref="G5:I5"/>
  </mergeCells>
  <conditionalFormatting sqref="A9:B39">
    <cfRule type="expression" dxfId="6" priority="1">
      <formula>RIGHT($B9,7)="feriado"</formula>
    </cfRule>
  </conditionalFormatting>
  <hyperlinks>
    <hyperlink ref="A44" r:id="rId1"/>
  </hyperlinks>
  <pageSetup paperSize="9" orientation="landscape" fitToWidth="1" fitToHeight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1" customWidth="1"/>
    <col min="4" max="5" width="13" customWidth="1"/>
    <col min="6" max="6" width="11" customWidth="1"/>
    <col min="7" max="8" width="12" customWidth="1"/>
    <col min="9" max="9" width="13" customWidth="1"/>
    <col min="10" max="10" width="24" customWidth="1"/>
    <col min="11" max="11" width="30" customWidth="1"/>
    <col min="12" max="12" width="22" customWidth="1"/>
    <col min="13" max="13" width="4" customWidth="1"/>
    <col min="14" max="14" width="12" hidden="1" customWidth="1"/>
  </cols>
  <sheetData>
    <row r="1" ht="3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 spans="1:12" x14ac:dyDescent="0.25">
      <c r="A2" s="2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2" customHeight="1" spans="1:12" x14ac:dyDescent="0.25">
      <c r="A3" s="9" t="s">
        <v>31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x14ac:dyDescent="0.25">
      <c r="A4" s="10" t="s">
        <v>32</v>
      </c>
      <c r="B4" s="14">
        <f>IF(Datos!$B$5="","",Datos!$B$5)</f>
      </c>
      <c r="C4" s="14"/>
      <c r="D4" s="14"/>
      <c r="E4" s="14"/>
      <c r="F4" s="10" t="s">
        <v>33</v>
      </c>
      <c r="G4" s="14">
        <f>IF(Datos!$B$6="","",Datos!$B$6)</f>
      </c>
      <c r="H4" s="14"/>
      <c r="I4" s="14"/>
      <c r="N4" s="15">
        <f>INDEX(Listas!$C$2:$C$62,($D$6-2026)*12+8)</f>
      </c>
    </row>
    <row r="5" spans="1:14" x14ac:dyDescent="0.25">
      <c r="A5" s="10" t="s">
        <v>34</v>
      </c>
      <c r="B5" s="14">
        <f>IF(Datos!$B$7="","",Datos!$B$7)</f>
      </c>
      <c r="C5" s="14"/>
      <c r="D5" s="14"/>
      <c r="E5" s="14"/>
      <c r="F5" s="10" t="s">
        <v>35</v>
      </c>
      <c r="G5" s="14">
        <f>IF(Datos!$B$8="","",Datos!$B$8)</f>
      </c>
      <c r="H5" s="14"/>
      <c r="I5" s="14"/>
      <c r="N5" s="15">
        <f>INDEX(Listas!$C$2:$C$62,($D$6-2026)*12+9)</f>
      </c>
    </row>
    <row r="6" spans="1:7" x14ac:dyDescent="0.25">
      <c r="A6" s="10" t="s">
        <v>36</v>
      </c>
      <c r="B6" s="16" t="s">
        <v>64</v>
      </c>
      <c r="C6" s="10" t="s">
        <v>38</v>
      </c>
      <c r="D6" s="17">
        <f>Datos!$B$10</f>
      </c>
      <c r="F6" s="10" t="s">
        <v>39</v>
      </c>
      <c r="G6" s="18">
        <f>Datos!$B$9</f>
      </c>
    </row>
    <row r="8" ht="42" customHeight="1" spans="1:12" x14ac:dyDescent="0.25">
      <c r="A8" s="19" t="s">
        <v>40</v>
      </c>
      <c r="B8" s="19" t="s">
        <v>41</v>
      </c>
      <c r="C8" s="19" t="s">
        <v>42</v>
      </c>
      <c r="D8" s="19" t="s">
        <v>43</v>
      </c>
      <c r="E8" s="19" t="s">
        <v>44</v>
      </c>
      <c r="F8" s="19" t="s">
        <v>45</v>
      </c>
      <c r="G8" s="19" t="s">
        <v>9</v>
      </c>
      <c r="H8" s="19" t="s">
        <v>46</v>
      </c>
      <c r="I8" s="19" t="s">
        <v>11</v>
      </c>
      <c r="J8" s="19" t="s">
        <v>47</v>
      </c>
      <c r="K8" s="19" t="s">
        <v>48</v>
      </c>
      <c r="L8" s="19" t="s">
        <v>49</v>
      </c>
    </row>
    <row r="9" ht="20" customHeight="1" spans="1:12" x14ac:dyDescent="0.25">
      <c r="A9" s="20">
        <f>IF($N$4+0&lt;$N$5,$N$4+0,"")</f>
      </c>
      <c r="B9" s="21">
        <f>IF(A9="","",INDEX(Listas!$A$2:$A$8,WEEKDAY(A9))&amp;IF(COUNTIF(Feriados!$A$6:$A$49,A9)&gt;0," · feriado",""))</f>
      </c>
      <c r="C9" s="22"/>
      <c r="D9" s="22"/>
      <c r="E9" s="22"/>
      <c r="F9" s="22"/>
      <c r="G9" s="23">
        <f>IF(AND(ISNUMBER(D9),ISNUMBER(E9)),ROUND(MOD(E9-D9,1)*1440,0)/1440,"")</f>
      </c>
      <c r="H9" s="23">
        <f>IF(AND(ISNUMBER(C9),ISNUMBER(F9)),ROUND(MOD(F9-C9,1)*1440,0)/1440-N(G9),"")</f>
      </c>
      <c r="I9" s="23">
        <f>IF(H9="","",MAX(0,ROUND((H9-$G$6/24)*1440,0)/1440))</f>
      </c>
      <c r="J9" s="24">
        <f>IF(AND(ISNUMBER(C9),NOT(ISNUMBER(F9))),"Falta la salida",IF(AND(ISNUMBER(F9),NOT(ISNUMBER(C9))),"Falta el ingreso",IF(AND(ISNUMBER(G9),G9&gt;0,G9&lt;45/1440),"Refrigerio menor a 45 min","")))</f>
      </c>
      <c r="K9" s="25"/>
      <c r="L9" s="25"/>
    </row>
    <row r="10" ht="20" customHeight="1" spans="1:12" x14ac:dyDescent="0.25">
      <c r="A10" s="20">
        <f>IF($N$4+1&lt;$N$5,$N$4+1,"")</f>
      </c>
      <c r="B10" s="21">
        <f>IF(A10="","",INDEX(Listas!$A$2:$A$8,WEEKDAY(A10))&amp;IF(COUNTIF(Feriados!$A$6:$A$49,A10)&gt;0," · feriado",""))</f>
      </c>
      <c r="C10" s="22"/>
      <c r="D10" s="22"/>
      <c r="E10" s="22"/>
      <c r="F10" s="22"/>
      <c r="G10" s="23">
        <f>IF(AND(ISNUMBER(D10),ISNUMBER(E10)),ROUND(MOD(E10-D10,1)*1440,0)/1440,"")</f>
      </c>
      <c r="H10" s="23">
        <f>IF(AND(ISNUMBER(C10),ISNUMBER(F10)),ROUND(MOD(F10-C10,1)*1440,0)/1440-N(G10),"")</f>
      </c>
      <c r="I10" s="23">
        <f>IF(H10="","",MAX(0,ROUND((H10-$G$6/24)*1440,0)/1440))</f>
      </c>
      <c r="J10" s="24">
        <f>IF(AND(ISNUMBER(C10),NOT(ISNUMBER(F10))),"Falta la salida",IF(AND(ISNUMBER(F10),NOT(ISNUMBER(C10))),"Falta el ingreso",IF(AND(ISNUMBER(G10),G10&gt;0,G10&lt;45/1440),"Refrigerio menor a 45 min","")))</f>
      </c>
      <c r="K10" s="25"/>
      <c r="L10" s="25"/>
    </row>
    <row r="11" ht="20" customHeight="1" spans="1:12" x14ac:dyDescent="0.25">
      <c r="A11" s="20">
        <f>IF($N$4+2&lt;$N$5,$N$4+2,"")</f>
      </c>
      <c r="B11" s="21">
        <f>IF(A11="","",INDEX(Listas!$A$2:$A$8,WEEKDAY(A11))&amp;IF(COUNTIF(Feriados!$A$6:$A$49,A11)&gt;0," · feriado",""))</f>
      </c>
      <c r="C11" s="22"/>
      <c r="D11" s="22"/>
      <c r="E11" s="22"/>
      <c r="F11" s="22"/>
      <c r="G11" s="23">
        <f>IF(AND(ISNUMBER(D11),ISNUMBER(E11)),ROUND(MOD(E11-D11,1)*1440,0)/1440,"")</f>
      </c>
      <c r="H11" s="23">
        <f>IF(AND(ISNUMBER(C11),ISNUMBER(F11)),ROUND(MOD(F11-C11,1)*1440,0)/1440-N(G11),"")</f>
      </c>
      <c r="I11" s="23">
        <f>IF(H11="","",MAX(0,ROUND((H11-$G$6/24)*1440,0)/1440))</f>
      </c>
      <c r="J11" s="24">
        <f>IF(AND(ISNUMBER(C11),NOT(ISNUMBER(F11))),"Falta la salida",IF(AND(ISNUMBER(F11),NOT(ISNUMBER(C11))),"Falta el ingreso",IF(AND(ISNUMBER(G11),G11&gt;0,G11&lt;45/1440),"Refrigerio menor a 45 min","")))</f>
      </c>
      <c r="K11" s="25"/>
      <c r="L11" s="25"/>
    </row>
    <row r="12" ht="20" customHeight="1" spans="1:12" x14ac:dyDescent="0.25">
      <c r="A12" s="20">
        <f>IF($N$4+3&lt;$N$5,$N$4+3,"")</f>
      </c>
      <c r="B12" s="21">
        <f>IF(A12="","",INDEX(Listas!$A$2:$A$8,WEEKDAY(A12))&amp;IF(COUNTIF(Feriados!$A$6:$A$49,A12)&gt;0," · feriado",""))</f>
      </c>
      <c r="C12" s="22"/>
      <c r="D12" s="22"/>
      <c r="E12" s="22"/>
      <c r="F12" s="22"/>
      <c r="G12" s="23">
        <f>IF(AND(ISNUMBER(D12),ISNUMBER(E12)),ROUND(MOD(E12-D12,1)*1440,0)/1440,"")</f>
      </c>
      <c r="H12" s="23">
        <f>IF(AND(ISNUMBER(C12),ISNUMBER(F12)),ROUND(MOD(F12-C12,1)*1440,0)/1440-N(G12),"")</f>
      </c>
      <c r="I12" s="23">
        <f>IF(H12="","",MAX(0,ROUND((H12-$G$6/24)*1440,0)/1440))</f>
      </c>
      <c r="J12" s="24">
        <f>IF(AND(ISNUMBER(C12),NOT(ISNUMBER(F12))),"Falta la salida",IF(AND(ISNUMBER(F12),NOT(ISNUMBER(C12))),"Falta el ingreso",IF(AND(ISNUMBER(G12),G12&gt;0,G12&lt;45/1440),"Refrigerio menor a 45 min","")))</f>
      </c>
      <c r="K12" s="25"/>
      <c r="L12" s="25"/>
    </row>
    <row r="13" ht="20" customHeight="1" spans="1:12" x14ac:dyDescent="0.25">
      <c r="A13" s="20">
        <f>IF($N$4+4&lt;$N$5,$N$4+4,"")</f>
      </c>
      <c r="B13" s="21">
        <f>IF(A13="","",INDEX(Listas!$A$2:$A$8,WEEKDAY(A13))&amp;IF(COUNTIF(Feriados!$A$6:$A$49,A13)&gt;0," · feriado",""))</f>
      </c>
      <c r="C13" s="22"/>
      <c r="D13" s="22"/>
      <c r="E13" s="22"/>
      <c r="F13" s="22"/>
      <c r="G13" s="23">
        <f>IF(AND(ISNUMBER(D13),ISNUMBER(E13)),ROUND(MOD(E13-D13,1)*1440,0)/1440,"")</f>
      </c>
      <c r="H13" s="23">
        <f>IF(AND(ISNUMBER(C13),ISNUMBER(F13)),ROUND(MOD(F13-C13,1)*1440,0)/1440-N(G13),"")</f>
      </c>
      <c r="I13" s="23">
        <f>IF(H13="","",MAX(0,ROUND((H13-$G$6/24)*1440,0)/1440))</f>
      </c>
      <c r="J13" s="24">
        <f>IF(AND(ISNUMBER(C13),NOT(ISNUMBER(F13))),"Falta la salida",IF(AND(ISNUMBER(F13),NOT(ISNUMBER(C13))),"Falta el ingreso",IF(AND(ISNUMBER(G13),G13&gt;0,G13&lt;45/1440),"Refrigerio menor a 45 min","")))</f>
      </c>
      <c r="K13" s="25"/>
      <c r="L13" s="25"/>
    </row>
    <row r="14" ht="20" customHeight="1" spans="1:12" x14ac:dyDescent="0.25">
      <c r="A14" s="20">
        <f>IF($N$4+5&lt;$N$5,$N$4+5,"")</f>
      </c>
      <c r="B14" s="21">
        <f>IF(A14="","",INDEX(Listas!$A$2:$A$8,WEEKDAY(A14))&amp;IF(COUNTIF(Feriados!$A$6:$A$49,A14)&gt;0," · feriado",""))</f>
      </c>
      <c r="C14" s="22"/>
      <c r="D14" s="22"/>
      <c r="E14" s="22"/>
      <c r="F14" s="22"/>
      <c r="G14" s="23">
        <f>IF(AND(ISNUMBER(D14),ISNUMBER(E14)),ROUND(MOD(E14-D14,1)*1440,0)/1440,"")</f>
      </c>
      <c r="H14" s="23">
        <f>IF(AND(ISNUMBER(C14),ISNUMBER(F14)),ROUND(MOD(F14-C14,1)*1440,0)/1440-N(G14),"")</f>
      </c>
      <c r="I14" s="23">
        <f>IF(H14="","",MAX(0,ROUND((H14-$G$6/24)*1440,0)/1440))</f>
      </c>
      <c r="J14" s="24">
        <f>IF(AND(ISNUMBER(C14),NOT(ISNUMBER(F14))),"Falta la salida",IF(AND(ISNUMBER(F14),NOT(ISNUMBER(C14))),"Falta el ingreso",IF(AND(ISNUMBER(G14),G14&gt;0,G14&lt;45/1440),"Refrigerio menor a 45 min","")))</f>
      </c>
      <c r="K14" s="25"/>
      <c r="L14" s="25"/>
    </row>
    <row r="15" ht="20" customHeight="1" spans="1:12" x14ac:dyDescent="0.25">
      <c r="A15" s="20">
        <f>IF($N$4+6&lt;$N$5,$N$4+6,"")</f>
      </c>
      <c r="B15" s="21">
        <f>IF(A15="","",INDEX(Listas!$A$2:$A$8,WEEKDAY(A15))&amp;IF(COUNTIF(Feriados!$A$6:$A$49,A15)&gt;0," · feriado",""))</f>
      </c>
      <c r="C15" s="22"/>
      <c r="D15" s="22"/>
      <c r="E15" s="22"/>
      <c r="F15" s="22"/>
      <c r="G15" s="23">
        <f>IF(AND(ISNUMBER(D15),ISNUMBER(E15)),ROUND(MOD(E15-D15,1)*1440,0)/1440,"")</f>
      </c>
      <c r="H15" s="23">
        <f>IF(AND(ISNUMBER(C15),ISNUMBER(F15)),ROUND(MOD(F15-C15,1)*1440,0)/1440-N(G15),"")</f>
      </c>
      <c r="I15" s="23">
        <f>IF(H15="","",MAX(0,ROUND((H15-$G$6/24)*1440,0)/1440))</f>
      </c>
      <c r="J15" s="24">
        <f>IF(AND(ISNUMBER(C15),NOT(ISNUMBER(F15))),"Falta la salida",IF(AND(ISNUMBER(F15),NOT(ISNUMBER(C15))),"Falta el ingreso",IF(AND(ISNUMBER(G15),G15&gt;0,G15&lt;45/1440),"Refrigerio menor a 45 min","")))</f>
      </c>
      <c r="K15" s="25"/>
      <c r="L15" s="25"/>
    </row>
    <row r="16" ht="20" customHeight="1" spans="1:12" x14ac:dyDescent="0.25">
      <c r="A16" s="20">
        <f>IF($N$4+7&lt;$N$5,$N$4+7,"")</f>
      </c>
      <c r="B16" s="21">
        <f>IF(A16="","",INDEX(Listas!$A$2:$A$8,WEEKDAY(A16))&amp;IF(COUNTIF(Feriados!$A$6:$A$49,A16)&gt;0," · feriado",""))</f>
      </c>
      <c r="C16" s="22"/>
      <c r="D16" s="22"/>
      <c r="E16" s="22"/>
      <c r="F16" s="22"/>
      <c r="G16" s="23">
        <f>IF(AND(ISNUMBER(D16),ISNUMBER(E16)),ROUND(MOD(E16-D16,1)*1440,0)/1440,"")</f>
      </c>
      <c r="H16" s="23">
        <f>IF(AND(ISNUMBER(C16),ISNUMBER(F16)),ROUND(MOD(F16-C16,1)*1440,0)/1440-N(G16),"")</f>
      </c>
      <c r="I16" s="23">
        <f>IF(H16="","",MAX(0,ROUND((H16-$G$6/24)*1440,0)/1440))</f>
      </c>
      <c r="J16" s="24">
        <f>IF(AND(ISNUMBER(C16),NOT(ISNUMBER(F16))),"Falta la salida",IF(AND(ISNUMBER(F16),NOT(ISNUMBER(C16))),"Falta el ingreso",IF(AND(ISNUMBER(G16),G16&gt;0,G16&lt;45/1440),"Refrigerio menor a 45 min","")))</f>
      </c>
      <c r="K16" s="25"/>
      <c r="L16" s="25"/>
    </row>
    <row r="17" ht="20" customHeight="1" spans="1:12" x14ac:dyDescent="0.25">
      <c r="A17" s="20">
        <f>IF($N$4+8&lt;$N$5,$N$4+8,"")</f>
      </c>
      <c r="B17" s="21">
        <f>IF(A17="","",INDEX(Listas!$A$2:$A$8,WEEKDAY(A17))&amp;IF(COUNTIF(Feriados!$A$6:$A$49,A17)&gt;0," · feriado",""))</f>
      </c>
      <c r="C17" s="22"/>
      <c r="D17" s="22"/>
      <c r="E17" s="22"/>
      <c r="F17" s="22"/>
      <c r="G17" s="23">
        <f>IF(AND(ISNUMBER(D17),ISNUMBER(E17)),ROUND(MOD(E17-D17,1)*1440,0)/1440,"")</f>
      </c>
      <c r="H17" s="23">
        <f>IF(AND(ISNUMBER(C17),ISNUMBER(F17)),ROUND(MOD(F17-C17,1)*1440,0)/1440-N(G17),"")</f>
      </c>
      <c r="I17" s="23">
        <f>IF(H17="","",MAX(0,ROUND((H17-$G$6/24)*1440,0)/1440))</f>
      </c>
      <c r="J17" s="24">
        <f>IF(AND(ISNUMBER(C17),NOT(ISNUMBER(F17))),"Falta la salida",IF(AND(ISNUMBER(F17),NOT(ISNUMBER(C17))),"Falta el ingreso",IF(AND(ISNUMBER(G17),G17&gt;0,G17&lt;45/1440),"Refrigerio menor a 45 min","")))</f>
      </c>
      <c r="K17" s="25"/>
      <c r="L17" s="25"/>
    </row>
    <row r="18" ht="20" customHeight="1" spans="1:12" x14ac:dyDescent="0.25">
      <c r="A18" s="20">
        <f>IF($N$4+9&lt;$N$5,$N$4+9,"")</f>
      </c>
      <c r="B18" s="21">
        <f>IF(A18="","",INDEX(Listas!$A$2:$A$8,WEEKDAY(A18))&amp;IF(COUNTIF(Feriados!$A$6:$A$49,A18)&gt;0," · feriado",""))</f>
      </c>
      <c r="C18" s="22"/>
      <c r="D18" s="22"/>
      <c r="E18" s="22"/>
      <c r="F18" s="22"/>
      <c r="G18" s="23">
        <f>IF(AND(ISNUMBER(D18),ISNUMBER(E18)),ROUND(MOD(E18-D18,1)*1440,0)/1440,"")</f>
      </c>
      <c r="H18" s="23">
        <f>IF(AND(ISNUMBER(C18),ISNUMBER(F18)),ROUND(MOD(F18-C18,1)*1440,0)/1440-N(G18),"")</f>
      </c>
      <c r="I18" s="23">
        <f>IF(H18="","",MAX(0,ROUND((H18-$G$6/24)*1440,0)/1440))</f>
      </c>
      <c r="J18" s="24">
        <f>IF(AND(ISNUMBER(C18),NOT(ISNUMBER(F18))),"Falta la salida",IF(AND(ISNUMBER(F18),NOT(ISNUMBER(C18))),"Falta el ingreso",IF(AND(ISNUMBER(G18),G18&gt;0,G18&lt;45/1440),"Refrigerio menor a 45 min","")))</f>
      </c>
      <c r="K18" s="25"/>
      <c r="L18" s="25"/>
    </row>
    <row r="19" ht="20" customHeight="1" spans="1:12" x14ac:dyDescent="0.25">
      <c r="A19" s="20">
        <f>IF($N$4+10&lt;$N$5,$N$4+10,"")</f>
      </c>
      <c r="B19" s="21">
        <f>IF(A19="","",INDEX(Listas!$A$2:$A$8,WEEKDAY(A19))&amp;IF(COUNTIF(Feriados!$A$6:$A$49,A19)&gt;0," · feriado",""))</f>
      </c>
      <c r="C19" s="22"/>
      <c r="D19" s="22"/>
      <c r="E19" s="22"/>
      <c r="F19" s="22"/>
      <c r="G19" s="23">
        <f>IF(AND(ISNUMBER(D19),ISNUMBER(E19)),ROUND(MOD(E19-D19,1)*1440,0)/1440,"")</f>
      </c>
      <c r="H19" s="23">
        <f>IF(AND(ISNUMBER(C19),ISNUMBER(F19)),ROUND(MOD(F19-C19,1)*1440,0)/1440-N(G19),"")</f>
      </c>
      <c r="I19" s="23">
        <f>IF(H19="","",MAX(0,ROUND((H19-$G$6/24)*1440,0)/1440))</f>
      </c>
      <c r="J19" s="24">
        <f>IF(AND(ISNUMBER(C19),NOT(ISNUMBER(F19))),"Falta la salida",IF(AND(ISNUMBER(F19),NOT(ISNUMBER(C19))),"Falta el ingreso",IF(AND(ISNUMBER(G19),G19&gt;0,G19&lt;45/1440),"Refrigerio menor a 45 min","")))</f>
      </c>
      <c r="K19" s="25"/>
      <c r="L19" s="25"/>
    </row>
    <row r="20" ht="20" customHeight="1" spans="1:12" x14ac:dyDescent="0.25">
      <c r="A20" s="20">
        <f>IF($N$4+11&lt;$N$5,$N$4+11,"")</f>
      </c>
      <c r="B20" s="21">
        <f>IF(A20="","",INDEX(Listas!$A$2:$A$8,WEEKDAY(A20))&amp;IF(COUNTIF(Feriados!$A$6:$A$49,A20)&gt;0," · feriado",""))</f>
      </c>
      <c r="C20" s="22"/>
      <c r="D20" s="22"/>
      <c r="E20" s="22"/>
      <c r="F20" s="22"/>
      <c r="G20" s="23">
        <f>IF(AND(ISNUMBER(D20),ISNUMBER(E20)),ROUND(MOD(E20-D20,1)*1440,0)/1440,"")</f>
      </c>
      <c r="H20" s="23">
        <f>IF(AND(ISNUMBER(C20),ISNUMBER(F20)),ROUND(MOD(F20-C20,1)*1440,0)/1440-N(G20),"")</f>
      </c>
      <c r="I20" s="23">
        <f>IF(H20="","",MAX(0,ROUND((H20-$G$6/24)*1440,0)/1440))</f>
      </c>
      <c r="J20" s="24">
        <f>IF(AND(ISNUMBER(C20),NOT(ISNUMBER(F20))),"Falta la salida",IF(AND(ISNUMBER(F20),NOT(ISNUMBER(C20))),"Falta el ingreso",IF(AND(ISNUMBER(G20),G20&gt;0,G20&lt;45/1440),"Refrigerio menor a 45 min","")))</f>
      </c>
      <c r="K20" s="25"/>
      <c r="L20" s="25"/>
    </row>
    <row r="21" ht="20" customHeight="1" spans="1:12" x14ac:dyDescent="0.25">
      <c r="A21" s="20">
        <f>IF($N$4+12&lt;$N$5,$N$4+12,"")</f>
      </c>
      <c r="B21" s="21">
        <f>IF(A21="","",INDEX(Listas!$A$2:$A$8,WEEKDAY(A21))&amp;IF(COUNTIF(Feriados!$A$6:$A$49,A21)&gt;0," · feriado",""))</f>
      </c>
      <c r="C21" s="22"/>
      <c r="D21" s="22"/>
      <c r="E21" s="22"/>
      <c r="F21" s="22"/>
      <c r="G21" s="23">
        <f>IF(AND(ISNUMBER(D21),ISNUMBER(E21)),ROUND(MOD(E21-D21,1)*1440,0)/1440,"")</f>
      </c>
      <c r="H21" s="23">
        <f>IF(AND(ISNUMBER(C21),ISNUMBER(F21)),ROUND(MOD(F21-C21,1)*1440,0)/1440-N(G21),"")</f>
      </c>
      <c r="I21" s="23">
        <f>IF(H21="","",MAX(0,ROUND((H21-$G$6/24)*1440,0)/1440))</f>
      </c>
      <c r="J21" s="24">
        <f>IF(AND(ISNUMBER(C21),NOT(ISNUMBER(F21))),"Falta la salida",IF(AND(ISNUMBER(F21),NOT(ISNUMBER(C21))),"Falta el ingreso",IF(AND(ISNUMBER(G21),G21&gt;0,G21&lt;45/1440),"Refrigerio menor a 45 min","")))</f>
      </c>
      <c r="K21" s="25"/>
      <c r="L21" s="25"/>
    </row>
    <row r="22" ht="20" customHeight="1" spans="1:12" x14ac:dyDescent="0.25">
      <c r="A22" s="20">
        <f>IF($N$4+13&lt;$N$5,$N$4+13,"")</f>
      </c>
      <c r="B22" s="21">
        <f>IF(A22="","",INDEX(Listas!$A$2:$A$8,WEEKDAY(A22))&amp;IF(COUNTIF(Feriados!$A$6:$A$49,A22)&gt;0," · feriado",""))</f>
      </c>
      <c r="C22" s="22"/>
      <c r="D22" s="22"/>
      <c r="E22" s="22"/>
      <c r="F22" s="22"/>
      <c r="G22" s="23">
        <f>IF(AND(ISNUMBER(D22),ISNUMBER(E22)),ROUND(MOD(E22-D22,1)*1440,0)/1440,"")</f>
      </c>
      <c r="H22" s="23">
        <f>IF(AND(ISNUMBER(C22),ISNUMBER(F22)),ROUND(MOD(F22-C22,1)*1440,0)/1440-N(G22),"")</f>
      </c>
      <c r="I22" s="23">
        <f>IF(H22="","",MAX(0,ROUND((H22-$G$6/24)*1440,0)/1440))</f>
      </c>
      <c r="J22" s="24">
        <f>IF(AND(ISNUMBER(C22),NOT(ISNUMBER(F22))),"Falta la salida",IF(AND(ISNUMBER(F22),NOT(ISNUMBER(C22))),"Falta el ingreso",IF(AND(ISNUMBER(G22),G22&gt;0,G22&lt;45/1440),"Refrigerio menor a 45 min","")))</f>
      </c>
      <c r="K22" s="25"/>
      <c r="L22" s="25"/>
    </row>
    <row r="23" ht="20" customHeight="1" spans="1:12" x14ac:dyDescent="0.25">
      <c r="A23" s="20">
        <f>IF($N$4+14&lt;$N$5,$N$4+14,"")</f>
      </c>
      <c r="B23" s="21">
        <f>IF(A23="","",INDEX(Listas!$A$2:$A$8,WEEKDAY(A23))&amp;IF(COUNTIF(Feriados!$A$6:$A$49,A23)&gt;0," · feriado",""))</f>
      </c>
      <c r="C23" s="22"/>
      <c r="D23" s="22"/>
      <c r="E23" s="22"/>
      <c r="F23" s="22"/>
      <c r="G23" s="23">
        <f>IF(AND(ISNUMBER(D23),ISNUMBER(E23)),ROUND(MOD(E23-D23,1)*1440,0)/1440,"")</f>
      </c>
      <c r="H23" s="23">
        <f>IF(AND(ISNUMBER(C23),ISNUMBER(F23)),ROUND(MOD(F23-C23,1)*1440,0)/1440-N(G23),"")</f>
      </c>
      <c r="I23" s="23">
        <f>IF(H23="","",MAX(0,ROUND((H23-$G$6/24)*1440,0)/1440))</f>
      </c>
      <c r="J23" s="24">
        <f>IF(AND(ISNUMBER(C23),NOT(ISNUMBER(F23))),"Falta la salida",IF(AND(ISNUMBER(F23),NOT(ISNUMBER(C23))),"Falta el ingreso",IF(AND(ISNUMBER(G23),G23&gt;0,G23&lt;45/1440),"Refrigerio menor a 45 min","")))</f>
      </c>
      <c r="K23" s="25"/>
      <c r="L23" s="25"/>
    </row>
    <row r="24" ht="20" customHeight="1" spans="1:12" x14ac:dyDescent="0.25">
      <c r="A24" s="20">
        <f>IF($N$4+15&lt;$N$5,$N$4+15,"")</f>
      </c>
      <c r="B24" s="21">
        <f>IF(A24="","",INDEX(Listas!$A$2:$A$8,WEEKDAY(A24))&amp;IF(COUNTIF(Feriados!$A$6:$A$49,A24)&gt;0," · feriado",""))</f>
      </c>
      <c r="C24" s="22"/>
      <c r="D24" s="22"/>
      <c r="E24" s="22"/>
      <c r="F24" s="22"/>
      <c r="G24" s="23">
        <f>IF(AND(ISNUMBER(D24),ISNUMBER(E24)),ROUND(MOD(E24-D24,1)*1440,0)/1440,"")</f>
      </c>
      <c r="H24" s="23">
        <f>IF(AND(ISNUMBER(C24),ISNUMBER(F24)),ROUND(MOD(F24-C24,1)*1440,0)/1440-N(G24),"")</f>
      </c>
      <c r="I24" s="23">
        <f>IF(H24="","",MAX(0,ROUND((H24-$G$6/24)*1440,0)/1440))</f>
      </c>
      <c r="J24" s="24">
        <f>IF(AND(ISNUMBER(C24),NOT(ISNUMBER(F24))),"Falta la salida",IF(AND(ISNUMBER(F24),NOT(ISNUMBER(C24))),"Falta el ingreso",IF(AND(ISNUMBER(G24),G24&gt;0,G24&lt;45/1440),"Refrigerio menor a 45 min","")))</f>
      </c>
      <c r="K24" s="25"/>
      <c r="L24" s="25"/>
    </row>
    <row r="25" ht="20" customHeight="1" spans="1:12" x14ac:dyDescent="0.25">
      <c r="A25" s="20">
        <f>IF($N$4+16&lt;$N$5,$N$4+16,"")</f>
      </c>
      <c r="B25" s="21">
        <f>IF(A25="","",INDEX(Listas!$A$2:$A$8,WEEKDAY(A25))&amp;IF(COUNTIF(Feriados!$A$6:$A$49,A25)&gt;0," · feriado",""))</f>
      </c>
      <c r="C25" s="22"/>
      <c r="D25" s="22"/>
      <c r="E25" s="22"/>
      <c r="F25" s="22"/>
      <c r="G25" s="23">
        <f>IF(AND(ISNUMBER(D25),ISNUMBER(E25)),ROUND(MOD(E25-D25,1)*1440,0)/1440,"")</f>
      </c>
      <c r="H25" s="23">
        <f>IF(AND(ISNUMBER(C25),ISNUMBER(F25)),ROUND(MOD(F25-C25,1)*1440,0)/1440-N(G25),"")</f>
      </c>
      <c r="I25" s="23">
        <f>IF(H25="","",MAX(0,ROUND((H25-$G$6/24)*1440,0)/1440))</f>
      </c>
      <c r="J25" s="24">
        <f>IF(AND(ISNUMBER(C25),NOT(ISNUMBER(F25))),"Falta la salida",IF(AND(ISNUMBER(F25),NOT(ISNUMBER(C25))),"Falta el ingreso",IF(AND(ISNUMBER(G25),G25&gt;0,G25&lt;45/1440),"Refrigerio menor a 45 min","")))</f>
      </c>
      <c r="K25" s="25"/>
      <c r="L25" s="25"/>
    </row>
    <row r="26" ht="20" customHeight="1" spans="1:12" x14ac:dyDescent="0.25">
      <c r="A26" s="20">
        <f>IF($N$4+17&lt;$N$5,$N$4+17,"")</f>
      </c>
      <c r="B26" s="21">
        <f>IF(A26="","",INDEX(Listas!$A$2:$A$8,WEEKDAY(A26))&amp;IF(COUNTIF(Feriados!$A$6:$A$49,A26)&gt;0," · feriado",""))</f>
      </c>
      <c r="C26" s="22"/>
      <c r="D26" s="22"/>
      <c r="E26" s="22"/>
      <c r="F26" s="22"/>
      <c r="G26" s="23">
        <f>IF(AND(ISNUMBER(D26),ISNUMBER(E26)),ROUND(MOD(E26-D26,1)*1440,0)/1440,"")</f>
      </c>
      <c r="H26" s="23">
        <f>IF(AND(ISNUMBER(C26),ISNUMBER(F26)),ROUND(MOD(F26-C26,1)*1440,0)/1440-N(G26),"")</f>
      </c>
      <c r="I26" s="23">
        <f>IF(H26="","",MAX(0,ROUND((H26-$G$6/24)*1440,0)/1440))</f>
      </c>
      <c r="J26" s="24">
        <f>IF(AND(ISNUMBER(C26),NOT(ISNUMBER(F26))),"Falta la salida",IF(AND(ISNUMBER(F26),NOT(ISNUMBER(C26))),"Falta el ingreso",IF(AND(ISNUMBER(G26),G26&gt;0,G26&lt;45/1440),"Refrigerio menor a 45 min","")))</f>
      </c>
      <c r="K26" s="25"/>
      <c r="L26" s="25"/>
    </row>
    <row r="27" ht="20" customHeight="1" spans="1:12" x14ac:dyDescent="0.25">
      <c r="A27" s="20">
        <f>IF($N$4+18&lt;$N$5,$N$4+18,"")</f>
      </c>
      <c r="B27" s="21">
        <f>IF(A27="","",INDEX(Listas!$A$2:$A$8,WEEKDAY(A27))&amp;IF(COUNTIF(Feriados!$A$6:$A$49,A27)&gt;0," · feriado",""))</f>
      </c>
      <c r="C27" s="22"/>
      <c r="D27" s="22"/>
      <c r="E27" s="22"/>
      <c r="F27" s="22"/>
      <c r="G27" s="23">
        <f>IF(AND(ISNUMBER(D27),ISNUMBER(E27)),ROUND(MOD(E27-D27,1)*1440,0)/1440,"")</f>
      </c>
      <c r="H27" s="23">
        <f>IF(AND(ISNUMBER(C27),ISNUMBER(F27)),ROUND(MOD(F27-C27,1)*1440,0)/1440-N(G27),"")</f>
      </c>
      <c r="I27" s="23">
        <f>IF(H27="","",MAX(0,ROUND((H27-$G$6/24)*1440,0)/1440))</f>
      </c>
      <c r="J27" s="24">
        <f>IF(AND(ISNUMBER(C27),NOT(ISNUMBER(F27))),"Falta la salida",IF(AND(ISNUMBER(F27),NOT(ISNUMBER(C27))),"Falta el ingreso",IF(AND(ISNUMBER(G27),G27&gt;0,G27&lt;45/1440),"Refrigerio menor a 45 min","")))</f>
      </c>
      <c r="K27" s="25"/>
      <c r="L27" s="25"/>
    </row>
    <row r="28" ht="20" customHeight="1" spans="1:12" x14ac:dyDescent="0.25">
      <c r="A28" s="20">
        <f>IF($N$4+19&lt;$N$5,$N$4+19,"")</f>
      </c>
      <c r="B28" s="21">
        <f>IF(A28="","",INDEX(Listas!$A$2:$A$8,WEEKDAY(A28))&amp;IF(COUNTIF(Feriados!$A$6:$A$49,A28)&gt;0," · feriado",""))</f>
      </c>
      <c r="C28" s="22"/>
      <c r="D28" s="22"/>
      <c r="E28" s="22"/>
      <c r="F28" s="22"/>
      <c r="G28" s="23">
        <f>IF(AND(ISNUMBER(D28),ISNUMBER(E28)),ROUND(MOD(E28-D28,1)*1440,0)/1440,"")</f>
      </c>
      <c r="H28" s="23">
        <f>IF(AND(ISNUMBER(C28),ISNUMBER(F28)),ROUND(MOD(F28-C28,1)*1440,0)/1440-N(G28),"")</f>
      </c>
      <c r="I28" s="23">
        <f>IF(H28="","",MAX(0,ROUND((H28-$G$6/24)*1440,0)/1440))</f>
      </c>
      <c r="J28" s="24">
        <f>IF(AND(ISNUMBER(C28),NOT(ISNUMBER(F28))),"Falta la salida",IF(AND(ISNUMBER(F28),NOT(ISNUMBER(C28))),"Falta el ingreso",IF(AND(ISNUMBER(G28),G28&gt;0,G28&lt;45/1440),"Refrigerio menor a 45 min","")))</f>
      </c>
      <c r="K28" s="25"/>
      <c r="L28" s="25"/>
    </row>
    <row r="29" ht="20" customHeight="1" spans="1:12" x14ac:dyDescent="0.25">
      <c r="A29" s="20">
        <f>IF($N$4+20&lt;$N$5,$N$4+20,"")</f>
      </c>
      <c r="B29" s="21">
        <f>IF(A29="","",INDEX(Listas!$A$2:$A$8,WEEKDAY(A29))&amp;IF(COUNTIF(Feriados!$A$6:$A$49,A29)&gt;0," · feriado",""))</f>
      </c>
      <c r="C29" s="22"/>
      <c r="D29" s="22"/>
      <c r="E29" s="22"/>
      <c r="F29" s="22"/>
      <c r="G29" s="23">
        <f>IF(AND(ISNUMBER(D29),ISNUMBER(E29)),ROUND(MOD(E29-D29,1)*1440,0)/1440,"")</f>
      </c>
      <c r="H29" s="23">
        <f>IF(AND(ISNUMBER(C29),ISNUMBER(F29)),ROUND(MOD(F29-C29,1)*1440,0)/1440-N(G29),"")</f>
      </c>
      <c r="I29" s="23">
        <f>IF(H29="","",MAX(0,ROUND((H29-$G$6/24)*1440,0)/1440))</f>
      </c>
      <c r="J29" s="24">
        <f>IF(AND(ISNUMBER(C29),NOT(ISNUMBER(F29))),"Falta la salida",IF(AND(ISNUMBER(F29),NOT(ISNUMBER(C29))),"Falta el ingreso",IF(AND(ISNUMBER(G29),G29&gt;0,G29&lt;45/1440),"Refrigerio menor a 45 min","")))</f>
      </c>
      <c r="K29" s="25"/>
      <c r="L29" s="25"/>
    </row>
    <row r="30" ht="20" customHeight="1" spans="1:12" x14ac:dyDescent="0.25">
      <c r="A30" s="20">
        <f>IF($N$4+21&lt;$N$5,$N$4+21,"")</f>
      </c>
      <c r="B30" s="21">
        <f>IF(A30="","",INDEX(Listas!$A$2:$A$8,WEEKDAY(A30))&amp;IF(COUNTIF(Feriados!$A$6:$A$49,A30)&gt;0," · feriado",""))</f>
      </c>
      <c r="C30" s="22"/>
      <c r="D30" s="22"/>
      <c r="E30" s="22"/>
      <c r="F30" s="22"/>
      <c r="G30" s="23">
        <f>IF(AND(ISNUMBER(D30),ISNUMBER(E30)),ROUND(MOD(E30-D30,1)*1440,0)/1440,"")</f>
      </c>
      <c r="H30" s="23">
        <f>IF(AND(ISNUMBER(C30),ISNUMBER(F30)),ROUND(MOD(F30-C30,1)*1440,0)/1440-N(G30),"")</f>
      </c>
      <c r="I30" s="23">
        <f>IF(H30="","",MAX(0,ROUND((H30-$G$6/24)*1440,0)/1440))</f>
      </c>
      <c r="J30" s="24">
        <f>IF(AND(ISNUMBER(C30),NOT(ISNUMBER(F30))),"Falta la salida",IF(AND(ISNUMBER(F30),NOT(ISNUMBER(C30))),"Falta el ingreso",IF(AND(ISNUMBER(G30),G30&gt;0,G30&lt;45/1440),"Refrigerio menor a 45 min","")))</f>
      </c>
      <c r="K30" s="25"/>
      <c r="L30" s="25"/>
    </row>
    <row r="31" ht="20" customHeight="1" spans="1:12" x14ac:dyDescent="0.25">
      <c r="A31" s="20">
        <f>IF($N$4+22&lt;$N$5,$N$4+22,"")</f>
      </c>
      <c r="B31" s="21">
        <f>IF(A31="","",INDEX(Listas!$A$2:$A$8,WEEKDAY(A31))&amp;IF(COUNTIF(Feriados!$A$6:$A$49,A31)&gt;0," · feriado",""))</f>
      </c>
      <c r="C31" s="22"/>
      <c r="D31" s="22"/>
      <c r="E31" s="22"/>
      <c r="F31" s="22"/>
      <c r="G31" s="23">
        <f>IF(AND(ISNUMBER(D31),ISNUMBER(E31)),ROUND(MOD(E31-D31,1)*1440,0)/1440,"")</f>
      </c>
      <c r="H31" s="23">
        <f>IF(AND(ISNUMBER(C31),ISNUMBER(F31)),ROUND(MOD(F31-C31,1)*1440,0)/1440-N(G31),"")</f>
      </c>
      <c r="I31" s="23">
        <f>IF(H31="","",MAX(0,ROUND((H31-$G$6/24)*1440,0)/1440))</f>
      </c>
      <c r="J31" s="24">
        <f>IF(AND(ISNUMBER(C31),NOT(ISNUMBER(F31))),"Falta la salida",IF(AND(ISNUMBER(F31),NOT(ISNUMBER(C31))),"Falta el ingreso",IF(AND(ISNUMBER(G31),G31&gt;0,G31&lt;45/1440),"Refrigerio menor a 45 min","")))</f>
      </c>
      <c r="K31" s="25"/>
      <c r="L31" s="25"/>
    </row>
    <row r="32" ht="20" customHeight="1" spans="1:12" x14ac:dyDescent="0.25">
      <c r="A32" s="20">
        <f>IF($N$4+23&lt;$N$5,$N$4+23,"")</f>
      </c>
      <c r="B32" s="21">
        <f>IF(A32="","",INDEX(Listas!$A$2:$A$8,WEEKDAY(A32))&amp;IF(COUNTIF(Feriados!$A$6:$A$49,A32)&gt;0," · feriado",""))</f>
      </c>
      <c r="C32" s="22"/>
      <c r="D32" s="22"/>
      <c r="E32" s="22"/>
      <c r="F32" s="22"/>
      <c r="G32" s="23">
        <f>IF(AND(ISNUMBER(D32),ISNUMBER(E32)),ROUND(MOD(E32-D32,1)*1440,0)/1440,"")</f>
      </c>
      <c r="H32" s="23">
        <f>IF(AND(ISNUMBER(C32),ISNUMBER(F32)),ROUND(MOD(F32-C32,1)*1440,0)/1440-N(G32),"")</f>
      </c>
      <c r="I32" s="23">
        <f>IF(H32="","",MAX(0,ROUND((H32-$G$6/24)*1440,0)/1440))</f>
      </c>
      <c r="J32" s="24">
        <f>IF(AND(ISNUMBER(C32),NOT(ISNUMBER(F32))),"Falta la salida",IF(AND(ISNUMBER(F32),NOT(ISNUMBER(C32))),"Falta el ingreso",IF(AND(ISNUMBER(G32),G32&gt;0,G32&lt;45/1440),"Refrigerio menor a 45 min","")))</f>
      </c>
      <c r="K32" s="25"/>
      <c r="L32" s="25"/>
    </row>
    <row r="33" ht="20" customHeight="1" spans="1:12" x14ac:dyDescent="0.25">
      <c r="A33" s="20">
        <f>IF($N$4+24&lt;$N$5,$N$4+24,"")</f>
      </c>
      <c r="B33" s="21">
        <f>IF(A33="","",INDEX(Listas!$A$2:$A$8,WEEKDAY(A33))&amp;IF(COUNTIF(Feriados!$A$6:$A$49,A33)&gt;0," · feriado",""))</f>
      </c>
      <c r="C33" s="22"/>
      <c r="D33" s="22"/>
      <c r="E33" s="22"/>
      <c r="F33" s="22"/>
      <c r="G33" s="23">
        <f>IF(AND(ISNUMBER(D33),ISNUMBER(E33)),ROUND(MOD(E33-D33,1)*1440,0)/1440,"")</f>
      </c>
      <c r="H33" s="23">
        <f>IF(AND(ISNUMBER(C33),ISNUMBER(F33)),ROUND(MOD(F33-C33,1)*1440,0)/1440-N(G33),"")</f>
      </c>
      <c r="I33" s="23">
        <f>IF(H33="","",MAX(0,ROUND((H33-$G$6/24)*1440,0)/1440))</f>
      </c>
      <c r="J33" s="24">
        <f>IF(AND(ISNUMBER(C33),NOT(ISNUMBER(F33))),"Falta la salida",IF(AND(ISNUMBER(F33),NOT(ISNUMBER(C33))),"Falta el ingreso",IF(AND(ISNUMBER(G33),G33&gt;0,G33&lt;45/1440),"Refrigerio menor a 45 min","")))</f>
      </c>
      <c r="K33" s="25"/>
      <c r="L33" s="25"/>
    </row>
    <row r="34" ht="20" customHeight="1" spans="1:12" x14ac:dyDescent="0.25">
      <c r="A34" s="20">
        <f>IF($N$4+25&lt;$N$5,$N$4+25,"")</f>
      </c>
      <c r="B34" s="21">
        <f>IF(A34="","",INDEX(Listas!$A$2:$A$8,WEEKDAY(A34))&amp;IF(COUNTIF(Feriados!$A$6:$A$49,A34)&gt;0," · feriado",""))</f>
      </c>
      <c r="C34" s="22"/>
      <c r="D34" s="22"/>
      <c r="E34" s="22"/>
      <c r="F34" s="22"/>
      <c r="G34" s="23">
        <f>IF(AND(ISNUMBER(D34),ISNUMBER(E34)),ROUND(MOD(E34-D34,1)*1440,0)/1440,"")</f>
      </c>
      <c r="H34" s="23">
        <f>IF(AND(ISNUMBER(C34),ISNUMBER(F34)),ROUND(MOD(F34-C34,1)*1440,0)/1440-N(G34),"")</f>
      </c>
      <c r="I34" s="23">
        <f>IF(H34="","",MAX(0,ROUND((H34-$G$6/24)*1440,0)/1440))</f>
      </c>
      <c r="J34" s="24">
        <f>IF(AND(ISNUMBER(C34),NOT(ISNUMBER(F34))),"Falta la salida",IF(AND(ISNUMBER(F34),NOT(ISNUMBER(C34))),"Falta el ingreso",IF(AND(ISNUMBER(G34),G34&gt;0,G34&lt;45/1440),"Refrigerio menor a 45 min","")))</f>
      </c>
      <c r="K34" s="25"/>
      <c r="L34" s="25"/>
    </row>
    <row r="35" ht="20" customHeight="1" spans="1:12" x14ac:dyDescent="0.25">
      <c r="A35" s="20">
        <f>IF($N$4+26&lt;$N$5,$N$4+26,"")</f>
      </c>
      <c r="B35" s="21">
        <f>IF(A35="","",INDEX(Listas!$A$2:$A$8,WEEKDAY(A35))&amp;IF(COUNTIF(Feriados!$A$6:$A$49,A35)&gt;0," · feriado",""))</f>
      </c>
      <c r="C35" s="22"/>
      <c r="D35" s="22"/>
      <c r="E35" s="22"/>
      <c r="F35" s="22"/>
      <c r="G35" s="23">
        <f>IF(AND(ISNUMBER(D35),ISNUMBER(E35)),ROUND(MOD(E35-D35,1)*1440,0)/1440,"")</f>
      </c>
      <c r="H35" s="23">
        <f>IF(AND(ISNUMBER(C35),ISNUMBER(F35)),ROUND(MOD(F35-C35,1)*1440,0)/1440-N(G35),"")</f>
      </c>
      <c r="I35" s="23">
        <f>IF(H35="","",MAX(0,ROUND((H35-$G$6/24)*1440,0)/1440))</f>
      </c>
      <c r="J35" s="24">
        <f>IF(AND(ISNUMBER(C35),NOT(ISNUMBER(F35))),"Falta la salida",IF(AND(ISNUMBER(F35),NOT(ISNUMBER(C35))),"Falta el ingreso",IF(AND(ISNUMBER(G35),G35&gt;0,G35&lt;45/1440),"Refrigerio menor a 45 min","")))</f>
      </c>
      <c r="K35" s="25"/>
      <c r="L35" s="25"/>
    </row>
    <row r="36" ht="20" customHeight="1" spans="1:12" x14ac:dyDescent="0.25">
      <c r="A36" s="20">
        <f>IF($N$4+27&lt;$N$5,$N$4+27,"")</f>
      </c>
      <c r="B36" s="21">
        <f>IF(A36="","",INDEX(Listas!$A$2:$A$8,WEEKDAY(A36))&amp;IF(COUNTIF(Feriados!$A$6:$A$49,A36)&gt;0," · feriado",""))</f>
      </c>
      <c r="C36" s="22"/>
      <c r="D36" s="22"/>
      <c r="E36" s="22"/>
      <c r="F36" s="22"/>
      <c r="G36" s="23">
        <f>IF(AND(ISNUMBER(D36),ISNUMBER(E36)),ROUND(MOD(E36-D36,1)*1440,0)/1440,"")</f>
      </c>
      <c r="H36" s="23">
        <f>IF(AND(ISNUMBER(C36),ISNUMBER(F36)),ROUND(MOD(F36-C36,1)*1440,0)/1440-N(G36),"")</f>
      </c>
      <c r="I36" s="23">
        <f>IF(H36="","",MAX(0,ROUND((H36-$G$6/24)*1440,0)/1440))</f>
      </c>
      <c r="J36" s="24">
        <f>IF(AND(ISNUMBER(C36),NOT(ISNUMBER(F36))),"Falta la salida",IF(AND(ISNUMBER(F36),NOT(ISNUMBER(C36))),"Falta el ingreso",IF(AND(ISNUMBER(G36),G36&gt;0,G36&lt;45/1440),"Refrigerio menor a 45 min","")))</f>
      </c>
      <c r="K36" s="25"/>
      <c r="L36" s="25"/>
    </row>
    <row r="37" ht="20" customHeight="1" spans="1:12" x14ac:dyDescent="0.25">
      <c r="A37" s="20">
        <f>IF($N$4+28&lt;$N$5,$N$4+28,"")</f>
      </c>
      <c r="B37" s="21">
        <f>IF(A37="","",INDEX(Listas!$A$2:$A$8,WEEKDAY(A37))&amp;IF(COUNTIF(Feriados!$A$6:$A$49,A37)&gt;0," · feriado",""))</f>
      </c>
      <c r="C37" s="22"/>
      <c r="D37" s="22"/>
      <c r="E37" s="22"/>
      <c r="F37" s="22"/>
      <c r="G37" s="23">
        <f>IF(AND(ISNUMBER(D37),ISNUMBER(E37)),ROUND(MOD(E37-D37,1)*1440,0)/1440,"")</f>
      </c>
      <c r="H37" s="23">
        <f>IF(AND(ISNUMBER(C37),ISNUMBER(F37)),ROUND(MOD(F37-C37,1)*1440,0)/1440-N(G37),"")</f>
      </c>
      <c r="I37" s="23">
        <f>IF(H37="","",MAX(0,ROUND((H37-$G$6/24)*1440,0)/1440))</f>
      </c>
      <c r="J37" s="24">
        <f>IF(AND(ISNUMBER(C37),NOT(ISNUMBER(F37))),"Falta la salida",IF(AND(ISNUMBER(F37),NOT(ISNUMBER(C37))),"Falta el ingreso",IF(AND(ISNUMBER(G37),G37&gt;0,G37&lt;45/1440),"Refrigerio menor a 45 min","")))</f>
      </c>
      <c r="K37" s="25"/>
      <c r="L37" s="25"/>
    </row>
    <row r="38" ht="20" customHeight="1" spans="1:12" x14ac:dyDescent="0.25">
      <c r="A38" s="20">
        <f>IF($N$4+29&lt;$N$5,$N$4+29,"")</f>
      </c>
      <c r="B38" s="21">
        <f>IF(A38="","",INDEX(Listas!$A$2:$A$8,WEEKDAY(A38))&amp;IF(COUNTIF(Feriados!$A$6:$A$49,A38)&gt;0," · feriado",""))</f>
      </c>
      <c r="C38" s="22"/>
      <c r="D38" s="22"/>
      <c r="E38" s="22"/>
      <c r="F38" s="22"/>
      <c r="G38" s="23">
        <f>IF(AND(ISNUMBER(D38),ISNUMBER(E38)),ROUND(MOD(E38-D38,1)*1440,0)/1440,"")</f>
      </c>
      <c r="H38" s="23">
        <f>IF(AND(ISNUMBER(C38),ISNUMBER(F38)),ROUND(MOD(F38-C38,1)*1440,0)/1440-N(G38),"")</f>
      </c>
      <c r="I38" s="23">
        <f>IF(H38="","",MAX(0,ROUND((H38-$G$6/24)*1440,0)/1440))</f>
      </c>
      <c r="J38" s="24">
        <f>IF(AND(ISNUMBER(C38),NOT(ISNUMBER(F38))),"Falta la salida",IF(AND(ISNUMBER(F38),NOT(ISNUMBER(C38))),"Falta el ingreso",IF(AND(ISNUMBER(G38),G38&gt;0,G38&lt;45/1440),"Refrigerio menor a 45 min","")))</f>
      </c>
      <c r="K38" s="25"/>
      <c r="L38" s="25"/>
    </row>
    <row r="39" ht="20" customHeight="1" spans="1:12" x14ac:dyDescent="0.25">
      <c r="A39" s="20">
        <f>IF($N$4+30&lt;$N$5,$N$4+30,"")</f>
      </c>
      <c r="B39" s="21">
        <f>IF(A39="","",INDEX(Listas!$A$2:$A$8,WEEKDAY(A39))&amp;IF(COUNTIF(Feriados!$A$6:$A$49,A39)&gt;0," · feriado",""))</f>
      </c>
      <c r="C39" s="22"/>
      <c r="D39" s="22"/>
      <c r="E39" s="22"/>
      <c r="F39" s="22"/>
      <c r="G39" s="23">
        <f>IF(AND(ISNUMBER(D39),ISNUMBER(E39)),ROUND(MOD(E39-D39,1)*1440,0)/1440,"")</f>
      </c>
      <c r="H39" s="23">
        <f>IF(AND(ISNUMBER(C39),ISNUMBER(F39)),ROUND(MOD(F39-C39,1)*1440,0)/1440-N(G39),"")</f>
      </c>
      <c r="I39" s="23">
        <f>IF(H39="","",MAX(0,ROUND((H39-$G$6/24)*1440,0)/1440))</f>
      </c>
      <c r="J39" s="24">
        <f>IF(AND(ISNUMBER(C39),NOT(ISNUMBER(F39))),"Falta la salida",IF(AND(ISNUMBER(F39),NOT(ISNUMBER(C39))),"Falta el ingreso",IF(AND(ISNUMBER(G39),G39&gt;0,G39&lt;45/1440),"Refrigerio menor a 45 min","")))</f>
      </c>
      <c r="K39" s="25"/>
      <c r="L39" s="25"/>
    </row>
    <row r="40" spans="7:9" x14ac:dyDescent="0.25">
      <c r="G40" s="16" t="s">
        <v>50</v>
      </c>
      <c r="H40" s="26">
        <f>SUM(H9:H39)</f>
      </c>
      <c r="I40" s="26">
        <f>SUM(I9:I39)</f>
      </c>
    </row>
    <row r="42" spans="1:1" x14ac:dyDescent="0.25">
      <c r="A42" s="6" t="s">
        <v>17</v>
      </c>
    </row>
    <row r="43" spans="1:1" x14ac:dyDescent="0.25">
      <c r="A43" s="7" t="s">
        <v>18</v>
      </c>
    </row>
    <row r="44" spans="1:1" x14ac:dyDescent="0.25">
      <c r="A44" s="8" t="s">
        <v>19</v>
      </c>
    </row>
    <row r="45" spans="1:1" x14ac:dyDescent="0.25">
      <c r="A45" s="7" t="s">
        <v>20</v>
      </c>
    </row>
  </sheetData>
  <mergeCells count="7">
    <mergeCell ref="A1:L1"/>
    <mergeCell ref="A2:L2"/>
    <mergeCell ref="A3:L3"/>
    <mergeCell ref="B4:E4"/>
    <mergeCell ref="G4:I4"/>
    <mergeCell ref="B5:E5"/>
    <mergeCell ref="G5:I5"/>
  </mergeCells>
  <conditionalFormatting sqref="A9:B39">
    <cfRule type="expression" dxfId="7" priority="1">
      <formula>RIGHT($B9,7)="feriado"</formula>
    </cfRule>
  </conditionalFormatting>
  <hyperlinks>
    <hyperlink ref="A44" r:id="rId1"/>
  </hyperlinks>
  <pageSetup paperSize="9" orientation="landscape" fitToWidth="1" fitToHeight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1" customWidth="1"/>
    <col min="4" max="5" width="13" customWidth="1"/>
    <col min="6" max="6" width="11" customWidth="1"/>
    <col min="7" max="8" width="12" customWidth="1"/>
    <col min="9" max="9" width="13" customWidth="1"/>
    <col min="10" max="10" width="24" customWidth="1"/>
    <col min="11" max="11" width="30" customWidth="1"/>
    <col min="12" max="12" width="22" customWidth="1"/>
    <col min="13" max="13" width="4" customWidth="1"/>
    <col min="14" max="14" width="12" hidden="1" customWidth="1"/>
  </cols>
  <sheetData>
    <row r="1" ht="3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 spans="1:12" x14ac:dyDescent="0.25">
      <c r="A2" s="2" t="s">
        <v>65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2" customHeight="1" spans="1:12" x14ac:dyDescent="0.25">
      <c r="A3" s="9" t="s">
        <v>31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x14ac:dyDescent="0.25">
      <c r="A4" s="10" t="s">
        <v>32</v>
      </c>
      <c r="B4" s="14">
        <f>IF(Datos!$B$5="","",Datos!$B$5)</f>
      </c>
      <c r="C4" s="14"/>
      <c r="D4" s="14"/>
      <c r="E4" s="14"/>
      <c r="F4" s="10" t="s">
        <v>33</v>
      </c>
      <c r="G4" s="14">
        <f>IF(Datos!$B$6="","",Datos!$B$6)</f>
      </c>
      <c r="H4" s="14"/>
      <c r="I4" s="14"/>
      <c r="N4" s="15">
        <f>INDEX(Listas!$C$2:$C$62,($D$6-2026)*12+9)</f>
      </c>
    </row>
    <row r="5" spans="1:14" x14ac:dyDescent="0.25">
      <c r="A5" s="10" t="s">
        <v>34</v>
      </c>
      <c r="B5" s="14">
        <f>IF(Datos!$B$7="","",Datos!$B$7)</f>
      </c>
      <c r="C5" s="14"/>
      <c r="D5" s="14"/>
      <c r="E5" s="14"/>
      <c r="F5" s="10" t="s">
        <v>35</v>
      </c>
      <c r="G5" s="14">
        <f>IF(Datos!$B$8="","",Datos!$B$8)</f>
      </c>
      <c r="H5" s="14"/>
      <c r="I5" s="14"/>
      <c r="N5" s="15">
        <f>INDEX(Listas!$C$2:$C$62,($D$6-2026)*12+10)</f>
      </c>
    </row>
    <row r="6" spans="1:7" x14ac:dyDescent="0.25">
      <c r="A6" s="10" t="s">
        <v>36</v>
      </c>
      <c r="B6" s="16" t="s">
        <v>66</v>
      </c>
      <c r="C6" s="10" t="s">
        <v>38</v>
      </c>
      <c r="D6" s="17">
        <f>Datos!$B$10</f>
      </c>
      <c r="F6" s="10" t="s">
        <v>39</v>
      </c>
      <c r="G6" s="18">
        <f>Datos!$B$9</f>
      </c>
    </row>
    <row r="8" ht="42" customHeight="1" spans="1:12" x14ac:dyDescent="0.25">
      <c r="A8" s="19" t="s">
        <v>40</v>
      </c>
      <c r="B8" s="19" t="s">
        <v>41</v>
      </c>
      <c r="C8" s="19" t="s">
        <v>42</v>
      </c>
      <c r="D8" s="19" t="s">
        <v>43</v>
      </c>
      <c r="E8" s="19" t="s">
        <v>44</v>
      </c>
      <c r="F8" s="19" t="s">
        <v>45</v>
      </c>
      <c r="G8" s="19" t="s">
        <v>9</v>
      </c>
      <c r="H8" s="19" t="s">
        <v>46</v>
      </c>
      <c r="I8" s="19" t="s">
        <v>11</v>
      </c>
      <c r="J8" s="19" t="s">
        <v>47</v>
      </c>
      <c r="K8" s="19" t="s">
        <v>48</v>
      </c>
      <c r="L8" s="19" t="s">
        <v>49</v>
      </c>
    </row>
    <row r="9" ht="20" customHeight="1" spans="1:12" x14ac:dyDescent="0.25">
      <c r="A9" s="20">
        <f>IF($N$4+0&lt;$N$5,$N$4+0,"")</f>
      </c>
      <c r="B9" s="21">
        <f>IF(A9="","",INDEX(Listas!$A$2:$A$8,WEEKDAY(A9))&amp;IF(COUNTIF(Feriados!$A$6:$A$49,A9)&gt;0," · feriado",""))</f>
      </c>
      <c r="C9" s="22"/>
      <c r="D9" s="22"/>
      <c r="E9" s="22"/>
      <c r="F9" s="22"/>
      <c r="G9" s="23">
        <f>IF(AND(ISNUMBER(D9),ISNUMBER(E9)),ROUND(MOD(E9-D9,1)*1440,0)/1440,"")</f>
      </c>
      <c r="H9" s="23">
        <f>IF(AND(ISNUMBER(C9),ISNUMBER(F9)),ROUND(MOD(F9-C9,1)*1440,0)/1440-N(G9),"")</f>
      </c>
      <c r="I9" s="23">
        <f>IF(H9="","",MAX(0,ROUND((H9-$G$6/24)*1440,0)/1440))</f>
      </c>
      <c r="J9" s="24">
        <f>IF(AND(ISNUMBER(C9),NOT(ISNUMBER(F9))),"Falta la salida",IF(AND(ISNUMBER(F9),NOT(ISNUMBER(C9))),"Falta el ingreso",IF(AND(ISNUMBER(G9),G9&gt;0,G9&lt;45/1440),"Refrigerio menor a 45 min","")))</f>
      </c>
      <c r="K9" s="25"/>
      <c r="L9" s="25"/>
    </row>
    <row r="10" ht="20" customHeight="1" spans="1:12" x14ac:dyDescent="0.25">
      <c r="A10" s="20">
        <f>IF($N$4+1&lt;$N$5,$N$4+1,"")</f>
      </c>
      <c r="B10" s="21">
        <f>IF(A10="","",INDEX(Listas!$A$2:$A$8,WEEKDAY(A10))&amp;IF(COUNTIF(Feriados!$A$6:$A$49,A10)&gt;0," · feriado",""))</f>
      </c>
      <c r="C10" s="22"/>
      <c r="D10" s="22"/>
      <c r="E10" s="22"/>
      <c r="F10" s="22"/>
      <c r="G10" s="23">
        <f>IF(AND(ISNUMBER(D10),ISNUMBER(E10)),ROUND(MOD(E10-D10,1)*1440,0)/1440,"")</f>
      </c>
      <c r="H10" s="23">
        <f>IF(AND(ISNUMBER(C10),ISNUMBER(F10)),ROUND(MOD(F10-C10,1)*1440,0)/1440-N(G10),"")</f>
      </c>
      <c r="I10" s="23">
        <f>IF(H10="","",MAX(0,ROUND((H10-$G$6/24)*1440,0)/1440))</f>
      </c>
      <c r="J10" s="24">
        <f>IF(AND(ISNUMBER(C10),NOT(ISNUMBER(F10))),"Falta la salida",IF(AND(ISNUMBER(F10),NOT(ISNUMBER(C10))),"Falta el ingreso",IF(AND(ISNUMBER(G10),G10&gt;0,G10&lt;45/1440),"Refrigerio menor a 45 min","")))</f>
      </c>
      <c r="K10" s="25"/>
      <c r="L10" s="25"/>
    </row>
    <row r="11" ht="20" customHeight="1" spans="1:12" x14ac:dyDescent="0.25">
      <c r="A11" s="20">
        <f>IF($N$4+2&lt;$N$5,$N$4+2,"")</f>
      </c>
      <c r="B11" s="21">
        <f>IF(A11="","",INDEX(Listas!$A$2:$A$8,WEEKDAY(A11))&amp;IF(COUNTIF(Feriados!$A$6:$A$49,A11)&gt;0," · feriado",""))</f>
      </c>
      <c r="C11" s="22"/>
      <c r="D11" s="22"/>
      <c r="E11" s="22"/>
      <c r="F11" s="22"/>
      <c r="G11" s="23">
        <f>IF(AND(ISNUMBER(D11),ISNUMBER(E11)),ROUND(MOD(E11-D11,1)*1440,0)/1440,"")</f>
      </c>
      <c r="H11" s="23">
        <f>IF(AND(ISNUMBER(C11),ISNUMBER(F11)),ROUND(MOD(F11-C11,1)*1440,0)/1440-N(G11),"")</f>
      </c>
      <c r="I11" s="23">
        <f>IF(H11="","",MAX(0,ROUND((H11-$G$6/24)*1440,0)/1440))</f>
      </c>
      <c r="J11" s="24">
        <f>IF(AND(ISNUMBER(C11),NOT(ISNUMBER(F11))),"Falta la salida",IF(AND(ISNUMBER(F11),NOT(ISNUMBER(C11))),"Falta el ingreso",IF(AND(ISNUMBER(G11),G11&gt;0,G11&lt;45/1440),"Refrigerio menor a 45 min","")))</f>
      </c>
      <c r="K11" s="25"/>
      <c r="L11" s="25"/>
    </row>
    <row r="12" ht="20" customHeight="1" spans="1:12" x14ac:dyDescent="0.25">
      <c r="A12" s="20">
        <f>IF($N$4+3&lt;$N$5,$N$4+3,"")</f>
      </c>
      <c r="B12" s="21">
        <f>IF(A12="","",INDEX(Listas!$A$2:$A$8,WEEKDAY(A12))&amp;IF(COUNTIF(Feriados!$A$6:$A$49,A12)&gt;0," · feriado",""))</f>
      </c>
      <c r="C12" s="22"/>
      <c r="D12" s="22"/>
      <c r="E12" s="22"/>
      <c r="F12" s="22"/>
      <c r="G12" s="23">
        <f>IF(AND(ISNUMBER(D12),ISNUMBER(E12)),ROUND(MOD(E12-D12,1)*1440,0)/1440,"")</f>
      </c>
      <c r="H12" s="23">
        <f>IF(AND(ISNUMBER(C12),ISNUMBER(F12)),ROUND(MOD(F12-C12,1)*1440,0)/1440-N(G12),"")</f>
      </c>
      <c r="I12" s="23">
        <f>IF(H12="","",MAX(0,ROUND((H12-$G$6/24)*1440,0)/1440))</f>
      </c>
      <c r="J12" s="24">
        <f>IF(AND(ISNUMBER(C12),NOT(ISNUMBER(F12))),"Falta la salida",IF(AND(ISNUMBER(F12),NOT(ISNUMBER(C12))),"Falta el ingreso",IF(AND(ISNUMBER(G12),G12&gt;0,G12&lt;45/1440),"Refrigerio menor a 45 min","")))</f>
      </c>
      <c r="K12" s="25"/>
      <c r="L12" s="25"/>
    </row>
    <row r="13" ht="20" customHeight="1" spans="1:12" x14ac:dyDescent="0.25">
      <c r="A13" s="20">
        <f>IF($N$4+4&lt;$N$5,$N$4+4,"")</f>
      </c>
      <c r="B13" s="21">
        <f>IF(A13="","",INDEX(Listas!$A$2:$A$8,WEEKDAY(A13))&amp;IF(COUNTIF(Feriados!$A$6:$A$49,A13)&gt;0," · feriado",""))</f>
      </c>
      <c r="C13" s="22"/>
      <c r="D13" s="22"/>
      <c r="E13" s="22"/>
      <c r="F13" s="22"/>
      <c r="G13" s="23">
        <f>IF(AND(ISNUMBER(D13),ISNUMBER(E13)),ROUND(MOD(E13-D13,1)*1440,0)/1440,"")</f>
      </c>
      <c r="H13" s="23">
        <f>IF(AND(ISNUMBER(C13),ISNUMBER(F13)),ROUND(MOD(F13-C13,1)*1440,0)/1440-N(G13),"")</f>
      </c>
      <c r="I13" s="23">
        <f>IF(H13="","",MAX(0,ROUND((H13-$G$6/24)*1440,0)/1440))</f>
      </c>
      <c r="J13" s="24">
        <f>IF(AND(ISNUMBER(C13),NOT(ISNUMBER(F13))),"Falta la salida",IF(AND(ISNUMBER(F13),NOT(ISNUMBER(C13))),"Falta el ingreso",IF(AND(ISNUMBER(G13),G13&gt;0,G13&lt;45/1440),"Refrigerio menor a 45 min","")))</f>
      </c>
      <c r="K13" s="25"/>
      <c r="L13" s="25"/>
    </row>
    <row r="14" ht="20" customHeight="1" spans="1:12" x14ac:dyDescent="0.25">
      <c r="A14" s="20">
        <f>IF($N$4+5&lt;$N$5,$N$4+5,"")</f>
      </c>
      <c r="B14" s="21">
        <f>IF(A14="","",INDEX(Listas!$A$2:$A$8,WEEKDAY(A14))&amp;IF(COUNTIF(Feriados!$A$6:$A$49,A14)&gt;0," · feriado",""))</f>
      </c>
      <c r="C14" s="22"/>
      <c r="D14" s="22"/>
      <c r="E14" s="22"/>
      <c r="F14" s="22"/>
      <c r="G14" s="23">
        <f>IF(AND(ISNUMBER(D14),ISNUMBER(E14)),ROUND(MOD(E14-D14,1)*1440,0)/1440,"")</f>
      </c>
      <c r="H14" s="23">
        <f>IF(AND(ISNUMBER(C14),ISNUMBER(F14)),ROUND(MOD(F14-C14,1)*1440,0)/1440-N(G14),"")</f>
      </c>
      <c r="I14" s="23">
        <f>IF(H14="","",MAX(0,ROUND((H14-$G$6/24)*1440,0)/1440))</f>
      </c>
      <c r="J14" s="24">
        <f>IF(AND(ISNUMBER(C14),NOT(ISNUMBER(F14))),"Falta la salida",IF(AND(ISNUMBER(F14),NOT(ISNUMBER(C14))),"Falta el ingreso",IF(AND(ISNUMBER(G14),G14&gt;0,G14&lt;45/1440),"Refrigerio menor a 45 min","")))</f>
      </c>
      <c r="K14" s="25"/>
      <c r="L14" s="25"/>
    </row>
    <row r="15" ht="20" customHeight="1" spans="1:12" x14ac:dyDescent="0.25">
      <c r="A15" s="20">
        <f>IF($N$4+6&lt;$N$5,$N$4+6,"")</f>
      </c>
      <c r="B15" s="21">
        <f>IF(A15="","",INDEX(Listas!$A$2:$A$8,WEEKDAY(A15))&amp;IF(COUNTIF(Feriados!$A$6:$A$49,A15)&gt;0," · feriado",""))</f>
      </c>
      <c r="C15" s="22"/>
      <c r="D15" s="22"/>
      <c r="E15" s="22"/>
      <c r="F15" s="22"/>
      <c r="G15" s="23">
        <f>IF(AND(ISNUMBER(D15),ISNUMBER(E15)),ROUND(MOD(E15-D15,1)*1440,0)/1440,"")</f>
      </c>
      <c r="H15" s="23">
        <f>IF(AND(ISNUMBER(C15),ISNUMBER(F15)),ROUND(MOD(F15-C15,1)*1440,0)/1440-N(G15),"")</f>
      </c>
      <c r="I15" s="23">
        <f>IF(H15="","",MAX(0,ROUND((H15-$G$6/24)*1440,0)/1440))</f>
      </c>
      <c r="J15" s="24">
        <f>IF(AND(ISNUMBER(C15),NOT(ISNUMBER(F15))),"Falta la salida",IF(AND(ISNUMBER(F15),NOT(ISNUMBER(C15))),"Falta el ingreso",IF(AND(ISNUMBER(G15),G15&gt;0,G15&lt;45/1440),"Refrigerio menor a 45 min","")))</f>
      </c>
      <c r="K15" s="25"/>
      <c r="L15" s="25"/>
    </row>
    <row r="16" ht="20" customHeight="1" spans="1:12" x14ac:dyDescent="0.25">
      <c r="A16" s="20">
        <f>IF($N$4+7&lt;$N$5,$N$4+7,"")</f>
      </c>
      <c r="B16" s="21">
        <f>IF(A16="","",INDEX(Listas!$A$2:$A$8,WEEKDAY(A16))&amp;IF(COUNTIF(Feriados!$A$6:$A$49,A16)&gt;0," · feriado",""))</f>
      </c>
      <c r="C16" s="22"/>
      <c r="D16" s="22"/>
      <c r="E16" s="22"/>
      <c r="F16" s="22"/>
      <c r="G16" s="23">
        <f>IF(AND(ISNUMBER(D16),ISNUMBER(E16)),ROUND(MOD(E16-D16,1)*1440,0)/1440,"")</f>
      </c>
      <c r="H16" s="23">
        <f>IF(AND(ISNUMBER(C16),ISNUMBER(F16)),ROUND(MOD(F16-C16,1)*1440,0)/1440-N(G16),"")</f>
      </c>
      <c r="I16" s="23">
        <f>IF(H16="","",MAX(0,ROUND((H16-$G$6/24)*1440,0)/1440))</f>
      </c>
      <c r="J16" s="24">
        <f>IF(AND(ISNUMBER(C16),NOT(ISNUMBER(F16))),"Falta la salida",IF(AND(ISNUMBER(F16),NOT(ISNUMBER(C16))),"Falta el ingreso",IF(AND(ISNUMBER(G16),G16&gt;0,G16&lt;45/1440),"Refrigerio menor a 45 min","")))</f>
      </c>
      <c r="K16" s="25"/>
      <c r="L16" s="25"/>
    </row>
    <row r="17" ht="20" customHeight="1" spans="1:12" x14ac:dyDescent="0.25">
      <c r="A17" s="20">
        <f>IF($N$4+8&lt;$N$5,$N$4+8,"")</f>
      </c>
      <c r="B17" s="21">
        <f>IF(A17="","",INDEX(Listas!$A$2:$A$8,WEEKDAY(A17))&amp;IF(COUNTIF(Feriados!$A$6:$A$49,A17)&gt;0," · feriado",""))</f>
      </c>
      <c r="C17" s="22"/>
      <c r="D17" s="22"/>
      <c r="E17" s="22"/>
      <c r="F17" s="22"/>
      <c r="G17" s="23">
        <f>IF(AND(ISNUMBER(D17),ISNUMBER(E17)),ROUND(MOD(E17-D17,1)*1440,0)/1440,"")</f>
      </c>
      <c r="H17" s="23">
        <f>IF(AND(ISNUMBER(C17),ISNUMBER(F17)),ROUND(MOD(F17-C17,1)*1440,0)/1440-N(G17),"")</f>
      </c>
      <c r="I17" s="23">
        <f>IF(H17="","",MAX(0,ROUND((H17-$G$6/24)*1440,0)/1440))</f>
      </c>
      <c r="J17" s="24">
        <f>IF(AND(ISNUMBER(C17),NOT(ISNUMBER(F17))),"Falta la salida",IF(AND(ISNUMBER(F17),NOT(ISNUMBER(C17))),"Falta el ingreso",IF(AND(ISNUMBER(G17),G17&gt;0,G17&lt;45/1440),"Refrigerio menor a 45 min","")))</f>
      </c>
      <c r="K17" s="25"/>
      <c r="L17" s="25"/>
    </row>
    <row r="18" ht="20" customHeight="1" spans="1:12" x14ac:dyDescent="0.25">
      <c r="A18" s="20">
        <f>IF($N$4+9&lt;$N$5,$N$4+9,"")</f>
      </c>
      <c r="B18" s="21">
        <f>IF(A18="","",INDEX(Listas!$A$2:$A$8,WEEKDAY(A18))&amp;IF(COUNTIF(Feriados!$A$6:$A$49,A18)&gt;0," · feriado",""))</f>
      </c>
      <c r="C18" s="22"/>
      <c r="D18" s="22"/>
      <c r="E18" s="22"/>
      <c r="F18" s="22"/>
      <c r="G18" s="23">
        <f>IF(AND(ISNUMBER(D18),ISNUMBER(E18)),ROUND(MOD(E18-D18,1)*1440,0)/1440,"")</f>
      </c>
      <c r="H18" s="23">
        <f>IF(AND(ISNUMBER(C18),ISNUMBER(F18)),ROUND(MOD(F18-C18,1)*1440,0)/1440-N(G18),"")</f>
      </c>
      <c r="I18" s="23">
        <f>IF(H18="","",MAX(0,ROUND((H18-$G$6/24)*1440,0)/1440))</f>
      </c>
      <c r="J18" s="24">
        <f>IF(AND(ISNUMBER(C18),NOT(ISNUMBER(F18))),"Falta la salida",IF(AND(ISNUMBER(F18),NOT(ISNUMBER(C18))),"Falta el ingreso",IF(AND(ISNUMBER(G18),G18&gt;0,G18&lt;45/1440),"Refrigerio menor a 45 min","")))</f>
      </c>
      <c r="K18" s="25"/>
      <c r="L18" s="25"/>
    </row>
    <row r="19" ht="20" customHeight="1" spans="1:12" x14ac:dyDescent="0.25">
      <c r="A19" s="20">
        <f>IF($N$4+10&lt;$N$5,$N$4+10,"")</f>
      </c>
      <c r="B19" s="21">
        <f>IF(A19="","",INDEX(Listas!$A$2:$A$8,WEEKDAY(A19))&amp;IF(COUNTIF(Feriados!$A$6:$A$49,A19)&gt;0," · feriado",""))</f>
      </c>
      <c r="C19" s="22"/>
      <c r="D19" s="22"/>
      <c r="E19" s="22"/>
      <c r="F19" s="22"/>
      <c r="G19" s="23">
        <f>IF(AND(ISNUMBER(D19),ISNUMBER(E19)),ROUND(MOD(E19-D19,1)*1440,0)/1440,"")</f>
      </c>
      <c r="H19" s="23">
        <f>IF(AND(ISNUMBER(C19),ISNUMBER(F19)),ROUND(MOD(F19-C19,1)*1440,0)/1440-N(G19),"")</f>
      </c>
      <c r="I19" s="23">
        <f>IF(H19="","",MAX(0,ROUND((H19-$G$6/24)*1440,0)/1440))</f>
      </c>
      <c r="J19" s="24">
        <f>IF(AND(ISNUMBER(C19),NOT(ISNUMBER(F19))),"Falta la salida",IF(AND(ISNUMBER(F19),NOT(ISNUMBER(C19))),"Falta el ingreso",IF(AND(ISNUMBER(G19),G19&gt;0,G19&lt;45/1440),"Refrigerio menor a 45 min","")))</f>
      </c>
      <c r="K19" s="25"/>
      <c r="L19" s="25"/>
    </row>
    <row r="20" ht="20" customHeight="1" spans="1:12" x14ac:dyDescent="0.25">
      <c r="A20" s="20">
        <f>IF($N$4+11&lt;$N$5,$N$4+11,"")</f>
      </c>
      <c r="B20" s="21">
        <f>IF(A20="","",INDEX(Listas!$A$2:$A$8,WEEKDAY(A20))&amp;IF(COUNTIF(Feriados!$A$6:$A$49,A20)&gt;0," · feriado",""))</f>
      </c>
      <c r="C20" s="22"/>
      <c r="D20" s="22"/>
      <c r="E20" s="22"/>
      <c r="F20" s="22"/>
      <c r="G20" s="23">
        <f>IF(AND(ISNUMBER(D20),ISNUMBER(E20)),ROUND(MOD(E20-D20,1)*1440,0)/1440,"")</f>
      </c>
      <c r="H20" s="23">
        <f>IF(AND(ISNUMBER(C20),ISNUMBER(F20)),ROUND(MOD(F20-C20,1)*1440,0)/1440-N(G20),"")</f>
      </c>
      <c r="I20" s="23">
        <f>IF(H20="","",MAX(0,ROUND((H20-$G$6/24)*1440,0)/1440))</f>
      </c>
      <c r="J20" s="24">
        <f>IF(AND(ISNUMBER(C20),NOT(ISNUMBER(F20))),"Falta la salida",IF(AND(ISNUMBER(F20),NOT(ISNUMBER(C20))),"Falta el ingreso",IF(AND(ISNUMBER(G20),G20&gt;0,G20&lt;45/1440),"Refrigerio menor a 45 min","")))</f>
      </c>
      <c r="K20" s="25"/>
      <c r="L20" s="25"/>
    </row>
    <row r="21" ht="20" customHeight="1" spans="1:12" x14ac:dyDescent="0.25">
      <c r="A21" s="20">
        <f>IF($N$4+12&lt;$N$5,$N$4+12,"")</f>
      </c>
      <c r="B21" s="21">
        <f>IF(A21="","",INDEX(Listas!$A$2:$A$8,WEEKDAY(A21))&amp;IF(COUNTIF(Feriados!$A$6:$A$49,A21)&gt;0," · feriado",""))</f>
      </c>
      <c r="C21" s="22"/>
      <c r="D21" s="22"/>
      <c r="E21" s="22"/>
      <c r="F21" s="22"/>
      <c r="G21" s="23">
        <f>IF(AND(ISNUMBER(D21),ISNUMBER(E21)),ROUND(MOD(E21-D21,1)*1440,0)/1440,"")</f>
      </c>
      <c r="H21" s="23">
        <f>IF(AND(ISNUMBER(C21),ISNUMBER(F21)),ROUND(MOD(F21-C21,1)*1440,0)/1440-N(G21),"")</f>
      </c>
      <c r="I21" s="23">
        <f>IF(H21="","",MAX(0,ROUND((H21-$G$6/24)*1440,0)/1440))</f>
      </c>
      <c r="J21" s="24">
        <f>IF(AND(ISNUMBER(C21),NOT(ISNUMBER(F21))),"Falta la salida",IF(AND(ISNUMBER(F21),NOT(ISNUMBER(C21))),"Falta el ingreso",IF(AND(ISNUMBER(G21),G21&gt;0,G21&lt;45/1440),"Refrigerio menor a 45 min","")))</f>
      </c>
      <c r="K21" s="25"/>
      <c r="L21" s="25"/>
    </row>
    <row r="22" ht="20" customHeight="1" spans="1:12" x14ac:dyDescent="0.25">
      <c r="A22" s="20">
        <f>IF($N$4+13&lt;$N$5,$N$4+13,"")</f>
      </c>
      <c r="B22" s="21">
        <f>IF(A22="","",INDEX(Listas!$A$2:$A$8,WEEKDAY(A22))&amp;IF(COUNTIF(Feriados!$A$6:$A$49,A22)&gt;0," · feriado",""))</f>
      </c>
      <c r="C22" s="22"/>
      <c r="D22" s="22"/>
      <c r="E22" s="22"/>
      <c r="F22" s="22"/>
      <c r="G22" s="23">
        <f>IF(AND(ISNUMBER(D22),ISNUMBER(E22)),ROUND(MOD(E22-D22,1)*1440,0)/1440,"")</f>
      </c>
      <c r="H22" s="23">
        <f>IF(AND(ISNUMBER(C22),ISNUMBER(F22)),ROUND(MOD(F22-C22,1)*1440,0)/1440-N(G22),"")</f>
      </c>
      <c r="I22" s="23">
        <f>IF(H22="","",MAX(0,ROUND((H22-$G$6/24)*1440,0)/1440))</f>
      </c>
      <c r="J22" s="24">
        <f>IF(AND(ISNUMBER(C22),NOT(ISNUMBER(F22))),"Falta la salida",IF(AND(ISNUMBER(F22),NOT(ISNUMBER(C22))),"Falta el ingreso",IF(AND(ISNUMBER(G22),G22&gt;0,G22&lt;45/1440),"Refrigerio menor a 45 min","")))</f>
      </c>
      <c r="K22" s="25"/>
      <c r="L22" s="25"/>
    </row>
    <row r="23" ht="20" customHeight="1" spans="1:12" x14ac:dyDescent="0.25">
      <c r="A23" s="20">
        <f>IF($N$4+14&lt;$N$5,$N$4+14,"")</f>
      </c>
      <c r="B23" s="21">
        <f>IF(A23="","",INDEX(Listas!$A$2:$A$8,WEEKDAY(A23))&amp;IF(COUNTIF(Feriados!$A$6:$A$49,A23)&gt;0," · feriado",""))</f>
      </c>
      <c r="C23" s="22"/>
      <c r="D23" s="22"/>
      <c r="E23" s="22"/>
      <c r="F23" s="22"/>
      <c r="G23" s="23">
        <f>IF(AND(ISNUMBER(D23),ISNUMBER(E23)),ROUND(MOD(E23-D23,1)*1440,0)/1440,"")</f>
      </c>
      <c r="H23" s="23">
        <f>IF(AND(ISNUMBER(C23),ISNUMBER(F23)),ROUND(MOD(F23-C23,1)*1440,0)/1440-N(G23),"")</f>
      </c>
      <c r="I23" s="23">
        <f>IF(H23="","",MAX(0,ROUND((H23-$G$6/24)*1440,0)/1440))</f>
      </c>
      <c r="J23" s="24">
        <f>IF(AND(ISNUMBER(C23),NOT(ISNUMBER(F23))),"Falta la salida",IF(AND(ISNUMBER(F23),NOT(ISNUMBER(C23))),"Falta el ingreso",IF(AND(ISNUMBER(G23),G23&gt;0,G23&lt;45/1440),"Refrigerio menor a 45 min","")))</f>
      </c>
      <c r="K23" s="25"/>
      <c r="L23" s="25"/>
    </row>
    <row r="24" ht="20" customHeight="1" spans="1:12" x14ac:dyDescent="0.25">
      <c r="A24" s="20">
        <f>IF($N$4+15&lt;$N$5,$N$4+15,"")</f>
      </c>
      <c r="B24" s="21">
        <f>IF(A24="","",INDEX(Listas!$A$2:$A$8,WEEKDAY(A24))&amp;IF(COUNTIF(Feriados!$A$6:$A$49,A24)&gt;0," · feriado",""))</f>
      </c>
      <c r="C24" s="22"/>
      <c r="D24" s="22"/>
      <c r="E24" s="22"/>
      <c r="F24" s="22"/>
      <c r="G24" s="23">
        <f>IF(AND(ISNUMBER(D24),ISNUMBER(E24)),ROUND(MOD(E24-D24,1)*1440,0)/1440,"")</f>
      </c>
      <c r="H24" s="23">
        <f>IF(AND(ISNUMBER(C24),ISNUMBER(F24)),ROUND(MOD(F24-C24,1)*1440,0)/1440-N(G24),"")</f>
      </c>
      <c r="I24" s="23">
        <f>IF(H24="","",MAX(0,ROUND((H24-$G$6/24)*1440,0)/1440))</f>
      </c>
      <c r="J24" s="24">
        <f>IF(AND(ISNUMBER(C24),NOT(ISNUMBER(F24))),"Falta la salida",IF(AND(ISNUMBER(F24),NOT(ISNUMBER(C24))),"Falta el ingreso",IF(AND(ISNUMBER(G24),G24&gt;0,G24&lt;45/1440),"Refrigerio menor a 45 min","")))</f>
      </c>
      <c r="K24" s="25"/>
      <c r="L24" s="25"/>
    </row>
    <row r="25" ht="20" customHeight="1" spans="1:12" x14ac:dyDescent="0.25">
      <c r="A25" s="20">
        <f>IF($N$4+16&lt;$N$5,$N$4+16,"")</f>
      </c>
      <c r="B25" s="21">
        <f>IF(A25="","",INDEX(Listas!$A$2:$A$8,WEEKDAY(A25))&amp;IF(COUNTIF(Feriados!$A$6:$A$49,A25)&gt;0," · feriado",""))</f>
      </c>
      <c r="C25" s="22"/>
      <c r="D25" s="22"/>
      <c r="E25" s="22"/>
      <c r="F25" s="22"/>
      <c r="G25" s="23">
        <f>IF(AND(ISNUMBER(D25),ISNUMBER(E25)),ROUND(MOD(E25-D25,1)*1440,0)/1440,"")</f>
      </c>
      <c r="H25" s="23">
        <f>IF(AND(ISNUMBER(C25),ISNUMBER(F25)),ROUND(MOD(F25-C25,1)*1440,0)/1440-N(G25),"")</f>
      </c>
      <c r="I25" s="23">
        <f>IF(H25="","",MAX(0,ROUND((H25-$G$6/24)*1440,0)/1440))</f>
      </c>
      <c r="J25" s="24">
        <f>IF(AND(ISNUMBER(C25),NOT(ISNUMBER(F25))),"Falta la salida",IF(AND(ISNUMBER(F25),NOT(ISNUMBER(C25))),"Falta el ingreso",IF(AND(ISNUMBER(G25),G25&gt;0,G25&lt;45/1440),"Refrigerio menor a 45 min","")))</f>
      </c>
      <c r="K25" s="25"/>
      <c r="L25" s="25"/>
    </row>
    <row r="26" ht="20" customHeight="1" spans="1:12" x14ac:dyDescent="0.25">
      <c r="A26" s="20">
        <f>IF($N$4+17&lt;$N$5,$N$4+17,"")</f>
      </c>
      <c r="B26" s="21">
        <f>IF(A26="","",INDEX(Listas!$A$2:$A$8,WEEKDAY(A26))&amp;IF(COUNTIF(Feriados!$A$6:$A$49,A26)&gt;0," · feriado",""))</f>
      </c>
      <c r="C26" s="22"/>
      <c r="D26" s="22"/>
      <c r="E26" s="22"/>
      <c r="F26" s="22"/>
      <c r="G26" s="23">
        <f>IF(AND(ISNUMBER(D26),ISNUMBER(E26)),ROUND(MOD(E26-D26,1)*1440,0)/1440,"")</f>
      </c>
      <c r="H26" s="23">
        <f>IF(AND(ISNUMBER(C26),ISNUMBER(F26)),ROUND(MOD(F26-C26,1)*1440,0)/1440-N(G26),"")</f>
      </c>
      <c r="I26" s="23">
        <f>IF(H26="","",MAX(0,ROUND((H26-$G$6/24)*1440,0)/1440))</f>
      </c>
      <c r="J26" s="24">
        <f>IF(AND(ISNUMBER(C26),NOT(ISNUMBER(F26))),"Falta la salida",IF(AND(ISNUMBER(F26),NOT(ISNUMBER(C26))),"Falta el ingreso",IF(AND(ISNUMBER(G26),G26&gt;0,G26&lt;45/1440),"Refrigerio menor a 45 min","")))</f>
      </c>
      <c r="K26" s="25"/>
      <c r="L26" s="25"/>
    </row>
    <row r="27" ht="20" customHeight="1" spans="1:12" x14ac:dyDescent="0.25">
      <c r="A27" s="20">
        <f>IF($N$4+18&lt;$N$5,$N$4+18,"")</f>
      </c>
      <c r="B27" s="21">
        <f>IF(A27="","",INDEX(Listas!$A$2:$A$8,WEEKDAY(A27))&amp;IF(COUNTIF(Feriados!$A$6:$A$49,A27)&gt;0," · feriado",""))</f>
      </c>
      <c r="C27" s="22"/>
      <c r="D27" s="22"/>
      <c r="E27" s="22"/>
      <c r="F27" s="22"/>
      <c r="G27" s="23">
        <f>IF(AND(ISNUMBER(D27),ISNUMBER(E27)),ROUND(MOD(E27-D27,1)*1440,0)/1440,"")</f>
      </c>
      <c r="H27" s="23">
        <f>IF(AND(ISNUMBER(C27),ISNUMBER(F27)),ROUND(MOD(F27-C27,1)*1440,0)/1440-N(G27),"")</f>
      </c>
      <c r="I27" s="23">
        <f>IF(H27="","",MAX(0,ROUND((H27-$G$6/24)*1440,0)/1440))</f>
      </c>
      <c r="J27" s="24">
        <f>IF(AND(ISNUMBER(C27),NOT(ISNUMBER(F27))),"Falta la salida",IF(AND(ISNUMBER(F27),NOT(ISNUMBER(C27))),"Falta el ingreso",IF(AND(ISNUMBER(G27),G27&gt;0,G27&lt;45/1440),"Refrigerio menor a 45 min","")))</f>
      </c>
      <c r="K27" s="25"/>
      <c r="L27" s="25"/>
    </row>
    <row r="28" ht="20" customHeight="1" spans="1:12" x14ac:dyDescent="0.25">
      <c r="A28" s="20">
        <f>IF($N$4+19&lt;$N$5,$N$4+19,"")</f>
      </c>
      <c r="B28" s="21">
        <f>IF(A28="","",INDEX(Listas!$A$2:$A$8,WEEKDAY(A28))&amp;IF(COUNTIF(Feriados!$A$6:$A$49,A28)&gt;0," · feriado",""))</f>
      </c>
      <c r="C28" s="22"/>
      <c r="D28" s="22"/>
      <c r="E28" s="22"/>
      <c r="F28" s="22"/>
      <c r="G28" s="23">
        <f>IF(AND(ISNUMBER(D28),ISNUMBER(E28)),ROUND(MOD(E28-D28,1)*1440,0)/1440,"")</f>
      </c>
      <c r="H28" s="23">
        <f>IF(AND(ISNUMBER(C28),ISNUMBER(F28)),ROUND(MOD(F28-C28,1)*1440,0)/1440-N(G28),"")</f>
      </c>
      <c r="I28" s="23">
        <f>IF(H28="","",MAX(0,ROUND((H28-$G$6/24)*1440,0)/1440))</f>
      </c>
      <c r="J28" s="24">
        <f>IF(AND(ISNUMBER(C28),NOT(ISNUMBER(F28))),"Falta la salida",IF(AND(ISNUMBER(F28),NOT(ISNUMBER(C28))),"Falta el ingreso",IF(AND(ISNUMBER(G28),G28&gt;0,G28&lt;45/1440),"Refrigerio menor a 45 min","")))</f>
      </c>
      <c r="K28" s="25"/>
      <c r="L28" s="25"/>
    </row>
    <row r="29" ht="20" customHeight="1" spans="1:12" x14ac:dyDescent="0.25">
      <c r="A29" s="20">
        <f>IF($N$4+20&lt;$N$5,$N$4+20,"")</f>
      </c>
      <c r="B29" s="21">
        <f>IF(A29="","",INDEX(Listas!$A$2:$A$8,WEEKDAY(A29))&amp;IF(COUNTIF(Feriados!$A$6:$A$49,A29)&gt;0," · feriado",""))</f>
      </c>
      <c r="C29" s="22"/>
      <c r="D29" s="22"/>
      <c r="E29" s="22"/>
      <c r="F29" s="22"/>
      <c r="G29" s="23">
        <f>IF(AND(ISNUMBER(D29),ISNUMBER(E29)),ROUND(MOD(E29-D29,1)*1440,0)/1440,"")</f>
      </c>
      <c r="H29" s="23">
        <f>IF(AND(ISNUMBER(C29),ISNUMBER(F29)),ROUND(MOD(F29-C29,1)*1440,0)/1440-N(G29),"")</f>
      </c>
      <c r="I29" s="23">
        <f>IF(H29="","",MAX(0,ROUND((H29-$G$6/24)*1440,0)/1440))</f>
      </c>
      <c r="J29" s="24">
        <f>IF(AND(ISNUMBER(C29),NOT(ISNUMBER(F29))),"Falta la salida",IF(AND(ISNUMBER(F29),NOT(ISNUMBER(C29))),"Falta el ingreso",IF(AND(ISNUMBER(G29),G29&gt;0,G29&lt;45/1440),"Refrigerio menor a 45 min","")))</f>
      </c>
      <c r="K29" s="25"/>
      <c r="L29" s="25"/>
    </row>
    <row r="30" ht="20" customHeight="1" spans="1:12" x14ac:dyDescent="0.25">
      <c r="A30" s="20">
        <f>IF($N$4+21&lt;$N$5,$N$4+21,"")</f>
      </c>
      <c r="B30" s="21">
        <f>IF(A30="","",INDEX(Listas!$A$2:$A$8,WEEKDAY(A30))&amp;IF(COUNTIF(Feriados!$A$6:$A$49,A30)&gt;0," · feriado",""))</f>
      </c>
      <c r="C30" s="22"/>
      <c r="D30" s="22"/>
      <c r="E30" s="22"/>
      <c r="F30" s="22"/>
      <c r="G30" s="23">
        <f>IF(AND(ISNUMBER(D30),ISNUMBER(E30)),ROUND(MOD(E30-D30,1)*1440,0)/1440,"")</f>
      </c>
      <c r="H30" s="23">
        <f>IF(AND(ISNUMBER(C30),ISNUMBER(F30)),ROUND(MOD(F30-C30,1)*1440,0)/1440-N(G30),"")</f>
      </c>
      <c r="I30" s="23">
        <f>IF(H30="","",MAX(0,ROUND((H30-$G$6/24)*1440,0)/1440))</f>
      </c>
      <c r="J30" s="24">
        <f>IF(AND(ISNUMBER(C30),NOT(ISNUMBER(F30))),"Falta la salida",IF(AND(ISNUMBER(F30),NOT(ISNUMBER(C30))),"Falta el ingreso",IF(AND(ISNUMBER(G30),G30&gt;0,G30&lt;45/1440),"Refrigerio menor a 45 min","")))</f>
      </c>
      <c r="K30" s="25"/>
      <c r="L30" s="25"/>
    </row>
    <row r="31" ht="20" customHeight="1" spans="1:12" x14ac:dyDescent="0.25">
      <c r="A31" s="20">
        <f>IF($N$4+22&lt;$N$5,$N$4+22,"")</f>
      </c>
      <c r="B31" s="21">
        <f>IF(A31="","",INDEX(Listas!$A$2:$A$8,WEEKDAY(A31))&amp;IF(COUNTIF(Feriados!$A$6:$A$49,A31)&gt;0," · feriado",""))</f>
      </c>
      <c r="C31" s="22"/>
      <c r="D31" s="22"/>
      <c r="E31" s="22"/>
      <c r="F31" s="22"/>
      <c r="G31" s="23">
        <f>IF(AND(ISNUMBER(D31),ISNUMBER(E31)),ROUND(MOD(E31-D31,1)*1440,0)/1440,"")</f>
      </c>
      <c r="H31" s="23">
        <f>IF(AND(ISNUMBER(C31),ISNUMBER(F31)),ROUND(MOD(F31-C31,1)*1440,0)/1440-N(G31),"")</f>
      </c>
      <c r="I31" s="23">
        <f>IF(H31="","",MAX(0,ROUND((H31-$G$6/24)*1440,0)/1440))</f>
      </c>
      <c r="J31" s="24">
        <f>IF(AND(ISNUMBER(C31),NOT(ISNUMBER(F31))),"Falta la salida",IF(AND(ISNUMBER(F31),NOT(ISNUMBER(C31))),"Falta el ingreso",IF(AND(ISNUMBER(G31),G31&gt;0,G31&lt;45/1440),"Refrigerio menor a 45 min","")))</f>
      </c>
      <c r="K31" s="25"/>
      <c r="L31" s="25"/>
    </row>
    <row r="32" ht="20" customHeight="1" spans="1:12" x14ac:dyDescent="0.25">
      <c r="A32" s="20">
        <f>IF($N$4+23&lt;$N$5,$N$4+23,"")</f>
      </c>
      <c r="B32" s="21">
        <f>IF(A32="","",INDEX(Listas!$A$2:$A$8,WEEKDAY(A32))&amp;IF(COUNTIF(Feriados!$A$6:$A$49,A32)&gt;0," · feriado",""))</f>
      </c>
      <c r="C32" s="22"/>
      <c r="D32" s="22"/>
      <c r="E32" s="22"/>
      <c r="F32" s="22"/>
      <c r="G32" s="23">
        <f>IF(AND(ISNUMBER(D32),ISNUMBER(E32)),ROUND(MOD(E32-D32,1)*1440,0)/1440,"")</f>
      </c>
      <c r="H32" s="23">
        <f>IF(AND(ISNUMBER(C32),ISNUMBER(F32)),ROUND(MOD(F32-C32,1)*1440,0)/1440-N(G32),"")</f>
      </c>
      <c r="I32" s="23">
        <f>IF(H32="","",MAX(0,ROUND((H32-$G$6/24)*1440,0)/1440))</f>
      </c>
      <c r="J32" s="24">
        <f>IF(AND(ISNUMBER(C32),NOT(ISNUMBER(F32))),"Falta la salida",IF(AND(ISNUMBER(F32),NOT(ISNUMBER(C32))),"Falta el ingreso",IF(AND(ISNUMBER(G32),G32&gt;0,G32&lt;45/1440),"Refrigerio menor a 45 min","")))</f>
      </c>
      <c r="K32" s="25"/>
      <c r="L32" s="25"/>
    </row>
    <row r="33" ht="20" customHeight="1" spans="1:12" x14ac:dyDescent="0.25">
      <c r="A33" s="20">
        <f>IF($N$4+24&lt;$N$5,$N$4+24,"")</f>
      </c>
      <c r="B33" s="21">
        <f>IF(A33="","",INDEX(Listas!$A$2:$A$8,WEEKDAY(A33))&amp;IF(COUNTIF(Feriados!$A$6:$A$49,A33)&gt;0," · feriado",""))</f>
      </c>
      <c r="C33" s="22"/>
      <c r="D33" s="22"/>
      <c r="E33" s="22"/>
      <c r="F33" s="22"/>
      <c r="G33" s="23">
        <f>IF(AND(ISNUMBER(D33),ISNUMBER(E33)),ROUND(MOD(E33-D33,1)*1440,0)/1440,"")</f>
      </c>
      <c r="H33" s="23">
        <f>IF(AND(ISNUMBER(C33),ISNUMBER(F33)),ROUND(MOD(F33-C33,1)*1440,0)/1440-N(G33),"")</f>
      </c>
      <c r="I33" s="23">
        <f>IF(H33="","",MAX(0,ROUND((H33-$G$6/24)*1440,0)/1440))</f>
      </c>
      <c r="J33" s="24">
        <f>IF(AND(ISNUMBER(C33),NOT(ISNUMBER(F33))),"Falta la salida",IF(AND(ISNUMBER(F33),NOT(ISNUMBER(C33))),"Falta el ingreso",IF(AND(ISNUMBER(G33),G33&gt;0,G33&lt;45/1440),"Refrigerio menor a 45 min","")))</f>
      </c>
      <c r="K33" s="25"/>
      <c r="L33" s="25"/>
    </row>
    <row r="34" ht="20" customHeight="1" spans="1:12" x14ac:dyDescent="0.25">
      <c r="A34" s="20">
        <f>IF($N$4+25&lt;$N$5,$N$4+25,"")</f>
      </c>
      <c r="B34" s="21">
        <f>IF(A34="","",INDEX(Listas!$A$2:$A$8,WEEKDAY(A34))&amp;IF(COUNTIF(Feriados!$A$6:$A$49,A34)&gt;0," · feriado",""))</f>
      </c>
      <c r="C34" s="22"/>
      <c r="D34" s="22"/>
      <c r="E34" s="22"/>
      <c r="F34" s="22"/>
      <c r="G34" s="23">
        <f>IF(AND(ISNUMBER(D34),ISNUMBER(E34)),ROUND(MOD(E34-D34,1)*1440,0)/1440,"")</f>
      </c>
      <c r="H34" s="23">
        <f>IF(AND(ISNUMBER(C34),ISNUMBER(F34)),ROUND(MOD(F34-C34,1)*1440,0)/1440-N(G34),"")</f>
      </c>
      <c r="I34" s="23">
        <f>IF(H34="","",MAX(0,ROUND((H34-$G$6/24)*1440,0)/1440))</f>
      </c>
      <c r="J34" s="24">
        <f>IF(AND(ISNUMBER(C34),NOT(ISNUMBER(F34))),"Falta la salida",IF(AND(ISNUMBER(F34),NOT(ISNUMBER(C34))),"Falta el ingreso",IF(AND(ISNUMBER(G34),G34&gt;0,G34&lt;45/1440),"Refrigerio menor a 45 min","")))</f>
      </c>
      <c r="K34" s="25"/>
      <c r="L34" s="25"/>
    </row>
    <row r="35" ht="20" customHeight="1" spans="1:12" x14ac:dyDescent="0.25">
      <c r="A35" s="20">
        <f>IF($N$4+26&lt;$N$5,$N$4+26,"")</f>
      </c>
      <c r="B35" s="21">
        <f>IF(A35="","",INDEX(Listas!$A$2:$A$8,WEEKDAY(A35))&amp;IF(COUNTIF(Feriados!$A$6:$A$49,A35)&gt;0," · feriado",""))</f>
      </c>
      <c r="C35" s="22"/>
      <c r="D35" s="22"/>
      <c r="E35" s="22"/>
      <c r="F35" s="22"/>
      <c r="G35" s="23">
        <f>IF(AND(ISNUMBER(D35),ISNUMBER(E35)),ROUND(MOD(E35-D35,1)*1440,0)/1440,"")</f>
      </c>
      <c r="H35" s="23">
        <f>IF(AND(ISNUMBER(C35),ISNUMBER(F35)),ROUND(MOD(F35-C35,1)*1440,0)/1440-N(G35),"")</f>
      </c>
      <c r="I35" s="23">
        <f>IF(H35="","",MAX(0,ROUND((H35-$G$6/24)*1440,0)/1440))</f>
      </c>
      <c r="J35" s="24">
        <f>IF(AND(ISNUMBER(C35),NOT(ISNUMBER(F35))),"Falta la salida",IF(AND(ISNUMBER(F35),NOT(ISNUMBER(C35))),"Falta el ingreso",IF(AND(ISNUMBER(G35),G35&gt;0,G35&lt;45/1440),"Refrigerio menor a 45 min","")))</f>
      </c>
      <c r="K35" s="25"/>
      <c r="L35" s="25"/>
    </row>
    <row r="36" ht="20" customHeight="1" spans="1:12" x14ac:dyDescent="0.25">
      <c r="A36" s="20">
        <f>IF($N$4+27&lt;$N$5,$N$4+27,"")</f>
      </c>
      <c r="B36" s="21">
        <f>IF(A36="","",INDEX(Listas!$A$2:$A$8,WEEKDAY(A36))&amp;IF(COUNTIF(Feriados!$A$6:$A$49,A36)&gt;0," · feriado",""))</f>
      </c>
      <c r="C36" s="22"/>
      <c r="D36" s="22"/>
      <c r="E36" s="22"/>
      <c r="F36" s="22"/>
      <c r="G36" s="23">
        <f>IF(AND(ISNUMBER(D36),ISNUMBER(E36)),ROUND(MOD(E36-D36,1)*1440,0)/1440,"")</f>
      </c>
      <c r="H36" s="23">
        <f>IF(AND(ISNUMBER(C36),ISNUMBER(F36)),ROUND(MOD(F36-C36,1)*1440,0)/1440-N(G36),"")</f>
      </c>
      <c r="I36" s="23">
        <f>IF(H36="","",MAX(0,ROUND((H36-$G$6/24)*1440,0)/1440))</f>
      </c>
      <c r="J36" s="24">
        <f>IF(AND(ISNUMBER(C36),NOT(ISNUMBER(F36))),"Falta la salida",IF(AND(ISNUMBER(F36),NOT(ISNUMBER(C36))),"Falta el ingreso",IF(AND(ISNUMBER(G36),G36&gt;0,G36&lt;45/1440),"Refrigerio menor a 45 min","")))</f>
      </c>
      <c r="K36" s="25"/>
      <c r="L36" s="25"/>
    </row>
    <row r="37" ht="20" customHeight="1" spans="1:12" x14ac:dyDescent="0.25">
      <c r="A37" s="20">
        <f>IF($N$4+28&lt;$N$5,$N$4+28,"")</f>
      </c>
      <c r="B37" s="21">
        <f>IF(A37="","",INDEX(Listas!$A$2:$A$8,WEEKDAY(A37))&amp;IF(COUNTIF(Feriados!$A$6:$A$49,A37)&gt;0," · feriado",""))</f>
      </c>
      <c r="C37" s="22"/>
      <c r="D37" s="22"/>
      <c r="E37" s="22"/>
      <c r="F37" s="22"/>
      <c r="G37" s="23">
        <f>IF(AND(ISNUMBER(D37),ISNUMBER(E37)),ROUND(MOD(E37-D37,1)*1440,0)/1440,"")</f>
      </c>
      <c r="H37" s="23">
        <f>IF(AND(ISNUMBER(C37),ISNUMBER(F37)),ROUND(MOD(F37-C37,1)*1440,0)/1440-N(G37),"")</f>
      </c>
      <c r="I37" s="23">
        <f>IF(H37="","",MAX(0,ROUND((H37-$G$6/24)*1440,0)/1440))</f>
      </c>
      <c r="J37" s="24">
        <f>IF(AND(ISNUMBER(C37),NOT(ISNUMBER(F37))),"Falta la salida",IF(AND(ISNUMBER(F37),NOT(ISNUMBER(C37))),"Falta el ingreso",IF(AND(ISNUMBER(G37),G37&gt;0,G37&lt;45/1440),"Refrigerio menor a 45 min","")))</f>
      </c>
      <c r="K37" s="25"/>
      <c r="L37" s="25"/>
    </row>
    <row r="38" ht="20" customHeight="1" spans="1:12" x14ac:dyDescent="0.25">
      <c r="A38" s="20">
        <f>IF($N$4+29&lt;$N$5,$N$4+29,"")</f>
      </c>
      <c r="B38" s="21">
        <f>IF(A38="","",INDEX(Listas!$A$2:$A$8,WEEKDAY(A38))&amp;IF(COUNTIF(Feriados!$A$6:$A$49,A38)&gt;0," · feriado",""))</f>
      </c>
      <c r="C38" s="22"/>
      <c r="D38" s="22"/>
      <c r="E38" s="22"/>
      <c r="F38" s="22"/>
      <c r="G38" s="23">
        <f>IF(AND(ISNUMBER(D38),ISNUMBER(E38)),ROUND(MOD(E38-D38,1)*1440,0)/1440,"")</f>
      </c>
      <c r="H38" s="23">
        <f>IF(AND(ISNUMBER(C38),ISNUMBER(F38)),ROUND(MOD(F38-C38,1)*1440,0)/1440-N(G38),"")</f>
      </c>
      <c r="I38" s="23">
        <f>IF(H38="","",MAX(0,ROUND((H38-$G$6/24)*1440,0)/1440))</f>
      </c>
      <c r="J38" s="24">
        <f>IF(AND(ISNUMBER(C38),NOT(ISNUMBER(F38))),"Falta la salida",IF(AND(ISNUMBER(F38),NOT(ISNUMBER(C38))),"Falta el ingreso",IF(AND(ISNUMBER(G38),G38&gt;0,G38&lt;45/1440),"Refrigerio menor a 45 min","")))</f>
      </c>
      <c r="K38" s="25"/>
      <c r="L38" s="25"/>
    </row>
    <row r="39" ht="20" customHeight="1" spans="1:12" x14ac:dyDescent="0.25">
      <c r="A39" s="20">
        <f>IF($N$4+30&lt;$N$5,$N$4+30,"")</f>
      </c>
      <c r="B39" s="21">
        <f>IF(A39="","",INDEX(Listas!$A$2:$A$8,WEEKDAY(A39))&amp;IF(COUNTIF(Feriados!$A$6:$A$49,A39)&gt;0," · feriado",""))</f>
      </c>
      <c r="C39" s="22"/>
      <c r="D39" s="22"/>
      <c r="E39" s="22"/>
      <c r="F39" s="22"/>
      <c r="G39" s="23">
        <f>IF(AND(ISNUMBER(D39),ISNUMBER(E39)),ROUND(MOD(E39-D39,1)*1440,0)/1440,"")</f>
      </c>
      <c r="H39" s="23">
        <f>IF(AND(ISNUMBER(C39),ISNUMBER(F39)),ROUND(MOD(F39-C39,1)*1440,0)/1440-N(G39),"")</f>
      </c>
      <c r="I39" s="23">
        <f>IF(H39="","",MAX(0,ROUND((H39-$G$6/24)*1440,0)/1440))</f>
      </c>
      <c r="J39" s="24">
        <f>IF(AND(ISNUMBER(C39),NOT(ISNUMBER(F39))),"Falta la salida",IF(AND(ISNUMBER(F39),NOT(ISNUMBER(C39))),"Falta el ingreso",IF(AND(ISNUMBER(G39),G39&gt;0,G39&lt;45/1440),"Refrigerio menor a 45 min","")))</f>
      </c>
      <c r="K39" s="25"/>
      <c r="L39" s="25"/>
    </row>
    <row r="40" spans="7:9" x14ac:dyDescent="0.25">
      <c r="G40" s="16" t="s">
        <v>50</v>
      </c>
      <c r="H40" s="26">
        <f>SUM(H9:H39)</f>
      </c>
      <c r="I40" s="26">
        <f>SUM(I9:I39)</f>
      </c>
    </row>
    <row r="42" spans="1:1" x14ac:dyDescent="0.25">
      <c r="A42" s="6" t="s">
        <v>17</v>
      </c>
    </row>
    <row r="43" spans="1:1" x14ac:dyDescent="0.25">
      <c r="A43" s="7" t="s">
        <v>18</v>
      </c>
    </row>
    <row r="44" spans="1:1" x14ac:dyDescent="0.25">
      <c r="A44" s="8" t="s">
        <v>19</v>
      </c>
    </row>
    <row r="45" spans="1:1" x14ac:dyDescent="0.25">
      <c r="A45" s="7" t="s">
        <v>20</v>
      </c>
    </row>
  </sheetData>
  <mergeCells count="7">
    <mergeCell ref="A1:L1"/>
    <mergeCell ref="A2:L2"/>
    <mergeCell ref="A3:L3"/>
    <mergeCell ref="B4:E4"/>
    <mergeCell ref="G4:I4"/>
    <mergeCell ref="B5:E5"/>
    <mergeCell ref="G5:I5"/>
  </mergeCells>
  <conditionalFormatting sqref="A9:B39">
    <cfRule type="expression" dxfId="8" priority="1">
      <formula>RIGHT($B9,7)="feriado"</formula>
    </cfRule>
  </conditionalFormatting>
  <hyperlinks>
    <hyperlink ref="A44" r:id="rId1"/>
  </hyperlinks>
  <pageSetup paperSize="9" orientation="landscape" fitToWidth="1" fitToHeight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1" customWidth="1"/>
    <col min="4" max="5" width="13" customWidth="1"/>
    <col min="6" max="6" width="11" customWidth="1"/>
    <col min="7" max="8" width="12" customWidth="1"/>
    <col min="9" max="9" width="13" customWidth="1"/>
    <col min="10" max="10" width="24" customWidth="1"/>
    <col min="11" max="11" width="30" customWidth="1"/>
    <col min="12" max="12" width="22" customWidth="1"/>
    <col min="13" max="13" width="4" customWidth="1"/>
    <col min="14" max="14" width="12" hidden="1" customWidth="1"/>
  </cols>
  <sheetData>
    <row r="1" ht="3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 spans="1:12" x14ac:dyDescent="0.25">
      <c r="A2" s="2" t="s">
        <v>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2" customHeight="1" spans="1:12" x14ac:dyDescent="0.25">
      <c r="A3" s="9" t="s">
        <v>31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x14ac:dyDescent="0.25">
      <c r="A4" s="10" t="s">
        <v>32</v>
      </c>
      <c r="B4" s="14">
        <f>IF(Datos!$B$5="","",Datos!$B$5)</f>
      </c>
      <c r="C4" s="14"/>
      <c r="D4" s="14"/>
      <c r="E4" s="14"/>
      <c r="F4" s="10" t="s">
        <v>33</v>
      </c>
      <c r="G4" s="14">
        <f>IF(Datos!$B$6="","",Datos!$B$6)</f>
      </c>
      <c r="H4" s="14"/>
      <c r="I4" s="14"/>
      <c r="N4" s="15">
        <f>INDEX(Listas!$C$2:$C$62,($D$6-2026)*12+10)</f>
      </c>
    </row>
    <row r="5" spans="1:14" x14ac:dyDescent="0.25">
      <c r="A5" s="10" t="s">
        <v>34</v>
      </c>
      <c r="B5" s="14">
        <f>IF(Datos!$B$7="","",Datos!$B$7)</f>
      </c>
      <c r="C5" s="14"/>
      <c r="D5" s="14"/>
      <c r="E5" s="14"/>
      <c r="F5" s="10" t="s">
        <v>35</v>
      </c>
      <c r="G5" s="14">
        <f>IF(Datos!$B$8="","",Datos!$B$8)</f>
      </c>
      <c r="H5" s="14"/>
      <c r="I5" s="14"/>
      <c r="N5" s="15">
        <f>INDEX(Listas!$C$2:$C$62,($D$6-2026)*12+11)</f>
      </c>
    </row>
    <row r="6" spans="1:7" x14ac:dyDescent="0.25">
      <c r="A6" s="10" t="s">
        <v>36</v>
      </c>
      <c r="B6" s="16" t="s">
        <v>68</v>
      </c>
      <c r="C6" s="10" t="s">
        <v>38</v>
      </c>
      <c r="D6" s="17">
        <f>Datos!$B$10</f>
      </c>
      <c r="F6" s="10" t="s">
        <v>39</v>
      </c>
      <c r="G6" s="18">
        <f>Datos!$B$9</f>
      </c>
    </row>
    <row r="8" ht="42" customHeight="1" spans="1:12" x14ac:dyDescent="0.25">
      <c r="A8" s="19" t="s">
        <v>40</v>
      </c>
      <c r="B8" s="19" t="s">
        <v>41</v>
      </c>
      <c r="C8" s="19" t="s">
        <v>42</v>
      </c>
      <c r="D8" s="19" t="s">
        <v>43</v>
      </c>
      <c r="E8" s="19" t="s">
        <v>44</v>
      </c>
      <c r="F8" s="19" t="s">
        <v>45</v>
      </c>
      <c r="G8" s="19" t="s">
        <v>9</v>
      </c>
      <c r="H8" s="19" t="s">
        <v>46</v>
      </c>
      <c r="I8" s="19" t="s">
        <v>11</v>
      </c>
      <c r="J8" s="19" t="s">
        <v>47</v>
      </c>
      <c r="K8" s="19" t="s">
        <v>48</v>
      </c>
      <c r="L8" s="19" t="s">
        <v>49</v>
      </c>
    </row>
    <row r="9" ht="20" customHeight="1" spans="1:12" x14ac:dyDescent="0.25">
      <c r="A9" s="20">
        <f>IF($N$4+0&lt;$N$5,$N$4+0,"")</f>
      </c>
      <c r="B9" s="21">
        <f>IF(A9="","",INDEX(Listas!$A$2:$A$8,WEEKDAY(A9))&amp;IF(COUNTIF(Feriados!$A$6:$A$49,A9)&gt;0," · feriado",""))</f>
      </c>
      <c r="C9" s="22"/>
      <c r="D9" s="22"/>
      <c r="E9" s="22"/>
      <c r="F9" s="22"/>
      <c r="G9" s="23">
        <f>IF(AND(ISNUMBER(D9),ISNUMBER(E9)),ROUND(MOD(E9-D9,1)*1440,0)/1440,"")</f>
      </c>
      <c r="H9" s="23">
        <f>IF(AND(ISNUMBER(C9),ISNUMBER(F9)),ROUND(MOD(F9-C9,1)*1440,0)/1440-N(G9),"")</f>
      </c>
      <c r="I9" s="23">
        <f>IF(H9="","",MAX(0,ROUND((H9-$G$6/24)*1440,0)/1440))</f>
      </c>
      <c r="J9" s="24">
        <f>IF(AND(ISNUMBER(C9),NOT(ISNUMBER(F9))),"Falta la salida",IF(AND(ISNUMBER(F9),NOT(ISNUMBER(C9))),"Falta el ingreso",IF(AND(ISNUMBER(G9),G9&gt;0,G9&lt;45/1440),"Refrigerio menor a 45 min","")))</f>
      </c>
      <c r="K9" s="25"/>
      <c r="L9" s="25"/>
    </row>
    <row r="10" ht="20" customHeight="1" spans="1:12" x14ac:dyDescent="0.25">
      <c r="A10" s="20">
        <f>IF($N$4+1&lt;$N$5,$N$4+1,"")</f>
      </c>
      <c r="B10" s="21">
        <f>IF(A10="","",INDEX(Listas!$A$2:$A$8,WEEKDAY(A10))&amp;IF(COUNTIF(Feriados!$A$6:$A$49,A10)&gt;0," · feriado",""))</f>
      </c>
      <c r="C10" s="22"/>
      <c r="D10" s="22"/>
      <c r="E10" s="22"/>
      <c r="F10" s="22"/>
      <c r="G10" s="23">
        <f>IF(AND(ISNUMBER(D10),ISNUMBER(E10)),ROUND(MOD(E10-D10,1)*1440,0)/1440,"")</f>
      </c>
      <c r="H10" s="23">
        <f>IF(AND(ISNUMBER(C10),ISNUMBER(F10)),ROUND(MOD(F10-C10,1)*1440,0)/1440-N(G10),"")</f>
      </c>
      <c r="I10" s="23">
        <f>IF(H10="","",MAX(0,ROUND((H10-$G$6/24)*1440,0)/1440))</f>
      </c>
      <c r="J10" s="24">
        <f>IF(AND(ISNUMBER(C10),NOT(ISNUMBER(F10))),"Falta la salida",IF(AND(ISNUMBER(F10),NOT(ISNUMBER(C10))),"Falta el ingreso",IF(AND(ISNUMBER(G10),G10&gt;0,G10&lt;45/1440),"Refrigerio menor a 45 min","")))</f>
      </c>
      <c r="K10" s="25"/>
      <c r="L10" s="25"/>
    </row>
    <row r="11" ht="20" customHeight="1" spans="1:12" x14ac:dyDescent="0.25">
      <c r="A11" s="20">
        <f>IF($N$4+2&lt;$N$5,$N$4+2,"")</f>
      </c>
      <c r="B11" s="21">
        <f>IF(A11="","",INDEX(Listas!$A$2:$A$8,WEEKDAY(A11))&amp;IF(COUNTIF(Feriados!$A$6:$A$49,A11)&gt;0," · feriado",""))</f>
      </c>
      <c r="C11" s="22"/>
      <c r="D11" s="22"/>
      <c r="E11" s="22"/>
      <c r="F11" s="22"/>
      <c r="G11" s="23">
        <f>IF(AND(ISNUMBER(D11),ISNUMBER(E11)),ROUND(MOD(E11-D11,1)*1440,0)/1440,"")</f>
      </c>
      <c r="H11" s="23">
        <f>IF(AND(ISNUMBER(C11),ISNUMBER(F11)),ROUND(MOD(F11-C11,1)*1440,0)/1440-N(G11),"")</f>
      </c>
      <c r="I11" s="23">
        <f>IF(H11="","",MAX(0,ROUND((H11-$G$6/24)*1440,0)/1440))</f>
      </c>
      <c r="J11" s="24">
        <f>IF(AND(ISNUMBER(C11),NOT(ISNUMBER(F11))),"Falta la salida",IF(AND(ISNUMBER(F11),NOT(ISNUMBER(C11))),"Falta el ingreso",IF(AND(ISNUMBER(G11),G11&gt;0,G11&lt;45/1440),"Refrigerio menor a 45 min","")))</f>
      </c>
      <c r="K11" s="25"/>
      <c r="L11" s="25"/>
    </row>
    <row r="12" ht="20" customHeight="1" spans="1:12" x14ac:dyDescent="0.25">
      <c r="A12" s="20">
        <f>IF($N$4+3&lt;$N$5,$N$4+3,"")</f>
      </c>
      <c r="B12" s="21">
        <f>IF(A12="","",INDEX(Listas!$A$2:$A$8,WEEKDAY(A12))&amp;IF(COUNTIF(Feriados!$A$6:$A$49,A12)&gt;0," · feriado",""))</f>
      </c>
      <c r="C12" s="22"/>
      <c r="D12" s="22"/>
      <c r="E12" s="22"/>
      <c r="F12" s="22"/>
      <c r="G12" s="23">
        <f>IF(AND(ISNUMBER(D12),ISNUMBER(E12)),ROUND(MOD(E12-D12,1)*1440,0)/1440,"")</f>
      </c>
      <c r="H12" s="23">
        <f>IF(AND(ISNUMBER(C12),ISNUMBER(F12)),ROUND(MOD(F12-C12,1)*1440,0)/1440-N(G12),"")</f>
      </c>
      <c r="I12" s="23">
        <f>IF(H12="","",MAX(0,ROUND((H12-$G$6/24)*1440,0)/1440))</f>
      </c>
      <c r="J12" s="24">
        <f>IF(AND(ISNUMBER(C12),NOT(ISNUMBER(F12))),"Falta la salida",IF(AND(ISNUMBER(F12),NOT(ISNUMBER(C12))),"Falta el ingreso",IF(AND(ISNUMBER(G12),G12&gt;0,G12&lt;45/1440),"Refrigerio menor a 45 min","")))</f>
      </c>
      <c r="K12" s="25"/>
      <c r="L12" s="25"/>
    </row>
    <row r="13" ht="20" customHeight="1" spans="1:12" x14ac:dyDescent="0.25">
      <c r="A13" s="20">
        <f>IF($N$4+4&lt;$N$5,$N$4+4,"")</f>
      </c>
      <c r="B13" s="21">
        <f>IF(A13="","",INDEX(Listas!$A$2:$A$8,WEEKDAY(A13))&amp;IF(COUNTIF(Feriados!$A$6:$A$49,A13)&gt;0," · feriado",""))</f>
      </c>
      <c r="C13" s="22"/>
      <c r="D13" s="22"/>
      <c r="E13" s="22"/>
      <c r="F13" s="22"/>
      <c r="G13" s="23">
        <f>IF(AND(ISNUMBER(D13),ISNUMBER(E13)),ROUND(MOD(E13-D13,1)*1440,0)/1440,"")</f>
      </c>
      <c r="H13" s="23">
        <f>IF(AND(ISNUMBER(C13),ISNUMBER(F13)),ROUND(MOD(F13-C13,1)*1440,0)/1440-N(G13),"")</f>
      </c>
      <c r="I13" s="23">
        <f>IF(H13="","",MAX(0,ROUND((H13-$G$6/24)*1440,0)/1440))</f>
      </c>
      <c r="J13" s="24">
        <f>IF(AND(ISNUMBER(C13),NOT(ISNUMBER(F13))),"Falta la salida",IF(AND(ISNUMBER(F13),NOT(ISNUMBER(C13))),"Falta el ingreso",IF(AND(ISNUMBER(G13),G13&gt;0,G13&lt;45/1440),"Refrigerio menor a 45 min","")))</f>
      </c>
      <c r="K13" s="25"/>
      <c r="L13" s="25"/>
    </row>
    <row r="14" ht="20" customHeight="1" spans="1:12" x14ac:dyDescent="0.25">
      <c r="A14" s="20">
        <f>IF($N$4+5&lt;$N$5,$N$4+5,"")</f>
      </c>
      <c r="B14" s="21">
        <f>IF(A14="","",INDEX(Listas!$A$2:$A$8,WEEKDAY(A14))&amp;IF(COUNTIF(Feriados!$A$6:$A$49,A14)&gt;0," · feriado",""))</f>
      </c>
      <c r="C14" s="22"/>
      <c r="D14" s="22"/>
      <c r="E14" s="22"/>
      <c r="F14" s="22"/>
      <c r="G14" s="23">
        <f>IF(AND(ISNUMBER(D14),ISNUMBER(E14)),ROUND(MOD(E14-D14,1)*1440,0)/1440,"")</f>
      </c>
      <c r="H14" s="23">
        <f>IF(AND(ISNUMBER(C14),ISNUMBER(F14)),ROUND(MOD(F14-C14,1)*1440,0)/1440-N(G14),"")</f>
      </c>
      <c r="I14" s="23">
        <f>IF(H14="","",MAX(0,ROUND((H14-$G$6/24)*1440,0)/1440))</f>
      </c>
      <c r="J14" s="24">
        <f>IF(AND(ISNUMBER(C14),NOT(ISNUMBER(F14))),"Falta la salida",IF(AND(ISNUMBER(F14),NOT(ISNUMBER(C14))),"Falta el ingreso",IF(AND(ISNUMBER(G14),G14&gt;0,G14&lt;45/1440),"Refrigerio menor a 45 min","")))</f>
      </c>
      <c r="K14" s="25"/>
      <c r="L14" s="25"/>
    </row>
    <row r="15" ht="20" customHeight="1" spans="1:12" x14ac:dyDescent="0.25">
      <c r="A15" s="20">
        <f>IF($N$4+6&lt;$N$5,$N$4+6,"")</f>
      </c>
      <c r="B15" s="21">
        <f>IF(A15="","",INDEX(Listas!$A$2:$A$8,WEEKDAY(A15))&amp;IF(COUNTIF(Feriados!$A$6:$A$49,A15)&gt;0," · feriado",""))</f>
      </c>
      <c r="C15" s="22"/>
      <c r="D15" s="22"/>
      <c r="E15" s="22"/>
      <c r="F15" s="22"/>
      <c r="G15" s="23">
        <f>IF(AND(ISNUMBER(D15),ISNUMBER(E15)),ROUND(MOD(E15-D15,1)*1440,0)/1440,"")</f>
      </c>
      <c r="H15" s="23">
        <f>IF(AND(ISNUMBER(C15),ISNUMBER(F15)),ROUND(MOD(F15-C15,1)*1440,0)/1440-N(G15),"")</f>
      </c>
      <c r="I15" s="23">
        <f>IF(H15="","",MAX(0,ROUND((H15-$G$6/24)*1440,0)/1440))</f>
      </c>
      <c r="J15" s="24">
        <f>IF(AND(ISNUMBER(C15),NOT(ISNUMBER(F15))),"Falta la salida",IF(AND(ISNUMBER(F15),NOT(ISNUMBER(C15))),"Falta el ingreso",IF(AND(ISNUMBER(G15),G15&gt;0,G15&lt;45/1440),"Refrigerio menor a 45 min","")))</f>
      </c>
      <c r="K15" s="25"/>
      <c r="L15" s="25"/>
    </row>
    <row r="16" ht="20" customHeight="1" spans="1:12" x14ac:dyDescent="0.25">
      <c r="A16" s="20">
        <f>IF($N$4+7&lt;$N$5,$N$4+7,"")</f>
      </c>
      <c r="B16" s="21">
        <f>IF(A16="","",INDEX(Listas!$A$2:$A$8,WEEKDAY(A16))&amp;IF(COUNTIF(Feriados!$A$6:$A$49,A16)&gt;0," · feriado",""))</f>
      </c>
      <c r="C16" s="22"/>
      <c r="D16" s="22"/>
      <c r="E16" s="22"/>
      <c r="F16" s="22"/>
      <c r="G16" s="23">
        <f>IF(AND(ISNUMBER(D16),ISNUMBER(E16)),ROUND(MOD(E16-D16,1)*1440,0)/1440,"")</f>
      </c>
      <c r="H16" s="23">
        <f>IF(AND(ISNUMBER(C16),ISNUMBER(F16)),ROUND(MOD(F16-C16,1)*1440,0)/1440-N(G16),"")</f>
      </c>
      <c r="I16" s="23">
        <f>IF(H16="","",MAX(0,ROUND((H16-$G$6/24)*1440,0)/1440))</f>
      </c>
      <c r="J16" s="24">
        <f>IF(AND(ISNUMBER(C16),NOT(ISNUMBER(F16))),"Falta la salida",IF(AND(ISNUMBER(F16),NOT(ISNUMBER(C16))),"Falta el ingreso",IF(AND(ISNUMBER(G16),G16&gt;0,G16&lt;45/1440),"Refrigerio menor a 45 min","")))</f>
      </c>
      <c r="K16" s="25"/>
      <c r="L16" s="25"/>
    </row>
    <row r="17" ht="20" customHeight="1" spans="1:12" x14ac:dyDescent="0.25">
      <c r="A17" s="20">
        <f>IF($N$4+8&lt;$N$5,$N$4+8,"")</f>
      </c>
      <c r="B17" s="21">
        <f>IF(A17="","",INDEX(Listas!$A$2:$A$8,WEEKDAY(A17))&amp;IF(COUNTIF(Feriados!$A$6:$A$49,A17)&gt;0," · feriado",""))</f>
      </c>
      <c r="C17" s="22"/>
      <c r="D17" s="22"/>
      <c r="E17" s="22"/>
      <c r="F17" s="22"/>
      <c r="G17" s="23">
        <f>IF(AND(ISNUMBER(D17),ISNUMBER(E17)),ROUND(MOD(E17-D17,1)*1440,0)/1440,"")</f>
      </c>
      <c r="H17" s="23">
        <f>IF(AND(ISNUMBER(C17),ISNUMBER(F17)),ROUND(MOD(F17-C17,1)*1440,0)/1440-N(G17),"")</f>
      </c>
      <c r="I17" s="23">
        <f>IF(H17="","",MAX(0,ROUND((H17-$G$6/24)*1440,0)/1440))</f>
      </c>
      <c r="J17" s="24">
        <f>IF(AND(ISNUMBER(C17),NOT(ISNUMBER(F17))),"Falta la salida",IF(AND(ISNUMBER(F17),NOT(ISNUMBER(C17))),"Falta el ingreso",IF(AND(ISNUMBER(G17),G17&gt;0,G17&lt;45/1440),"Refrigerio menor a 45 min","")))</f>
      </c>
      <c r="K17" s="25"/>
      <c r="L17" s="25"/>
    </row>
    <row r="18" ht="20" customHeight="1" spans="1:12" x14ac:dyDescent="0.25">
      <c r="A18" s="20">
        <f>IF($N$4+9&lt;$N$5,$N$4+9,"")</f>
      </c>
      <c r="B18" s="21">
        <f>IF(A18="","",INDEX(Listas!$A$2:$A$8,WEEKDAY(A18))&amp;IF(COUNTIF(Feriados!$A$6:$A$49,A18)&gt;0," · feriado",""))</f>
      </c>
      <c r="C18" s="22"/>
      <c r="D18" s="22"/>
      <c r="E18" s="22"/>
      <c r="F18" s="22"/>
      <c r="G18" s="23">
        <f>IF(AND(ISNUMBER(D18),ISNUMBER(E18)),ROUND(MOD(E18-D18,1)*1440,0)/1440,"")</f>
      </c>
      <c r="H18" s="23">
        <f>IF(AND(ISNUMBER(C18),ISNUMBER(F18)),ROUND(MOD(F18-C18,1)*1440,0)/1440-N(G18),"")</f>
      </c>
      <c r="I18" s="23">
        <f>IF(H18="","",MAX(0,ROUND((H18-$G$6/24)*1440,0)/1440))</f>
      </c>
      <c r="J18" s="24">
        <f>IF(AND(ISNUMBER(C18),NOT(ISNUMBER(F18))),"Falta la salida",IF(AND(ISNUMBER(F18),NOT(ISNUMBER(C18))),"Falta el ingreso",IF(AND(ISNUMBER(G18),G18&gt;0,G18&lt;45/1440),"Refrigerio menor a 45 min","")))</f>
      </c>
      <c r="K18" s="25"/>
      <c r="L18" s="25"/>
    </row>
    <row r="19" ht="20" customHeight="1" spans="1:12" x14ac:dyDescent="0.25">
      <c r="A19" s="20">
        <f>IF($N$4+10&lt;$N$5,$N$4+10,"")</f>
      </c>
      <c r="B19" s="21">
        <f>IF(A19="","",INDEX(Listas!$A$2:$A$8,WEEKDAY(A19))&amp;IF(COUNTIF(Feriados!$A$6:$A$49,A19)&gt;0," · feriado",""))</f>
      </c>
      <c r="C19" s="22"/>
      <c r="D19" s="22"/>
      <c r="E19" s="22"/>
      <c r="F19" s="22"/>
      <c r="G19" s="23">
        <f>IF(AND(ISNUMBER(D19),ISNUMBER(E19)),ROUND(MOD(E19-D19,1)*1440,0)/1440,"")</f>
      </c>
      <c r="H19" s="23">
        <f>IF(AND(ISNUMBER(C19),ISNUMBER(F19)),ROUND(MOD(F19-C19,1)*1440,0)/1440-N(G19),"")</f>
      </c>
      <c r="I19" s="23">
        <f>IF(H19="","",MAX(0,ROUND((H19-$G$6/24)*1440,0)/1440))</f>
      </c>
      <c r="J19" s="24">
        <f>IF(AND(ISNUMBER(C19),NOT(ISNUMBER(F19))),"Falta la salida",IF(AND(ISNUMBER(F19),NOT(ISNUMBER(C19))),"Falta el ingreso",IF(AND(ISNUMBER(G19),G19&gt;0,G19&lt;45/1440),"Refrigerio menor a 45 min","")))</f>
      </c>
      <c r="K19" s="25"/>
      <c r="L19" s="25"/>
    </row>
    <row r="20" ht="20" customHeight="1" spans="1:12" x14ac:dyDescent="0.25">
      <c r="A20" s="20">
        <f>IF($N$4+11&lt;$N$5,$N$4+11,"")</f>
      </c>
      <c r="B20" s="21">
        <f>IF(A20="","",INDEX(Listas!$A$2:$A$8,WEEKDAY(A20))&amp;IF(COUNTIF(Feriados!$A$6:$A$49,A20)&gt;0," · feriado",""))</f>
      </c>
      <c r="C20" s="22"/>
      <c r="D20" s="22"/>
      <c r="E20" s="22"/>
      <c r="F20" s="22"/>
      <c r="G20" s="23">
        <f>IF(AND(ISNUMBER(D20),ISNUMBER(E20)),ROUND(MOD(E20-D20,1)*1440,0)/1440,"")</f>
      </c>
      <c r="H20" s="23">
        <f>IF(AND(ISNUMBER(C20),ISNUMBER(F20)),ROUND(MOD(F20-C20,1)*1440,0)/1440-N(G20),"")</f>
      </c>
      <c r="I20" s="23">
        <f>IF(H20="","",MAX(0,ROUND((H20-$G$6/24)*1440,0)/1440))</f>
      </c>
      <c r="J20" s="24">
        <f>IF(AND(ISNUMBER(C20),NOT(ISNUMBER(F20))),"Falta la salida",IF(AND(ISNUMBER(F20),NOT(ISNUMBER(C20))),"Falta el ingreso",IF(AND(ISNUMBER(G20),G20&gt;0,G20&lt;45/1440),"Refrigerio menor a 45 min","")))</f>
      </c>
      <c r="K20" s="25"/>
      <c r="L20" s="25"/>
    </row>
    <row r="21" ht="20" customHeight="1" spans="1:12" x14ac:dyDescent="0.25">
      <c r="A21" s="20">
        <f>IF($N$4+12&lt;$N$5,$N$4+12,"")</f>
      </c>
      <c r="B21" s="21">
        <f>IF(A21="","",INDEX(Listas!$A$2:$A$8,WEEKDAY(A21))&amp;IF(COUNTIF(Feriados!$A$6:$A$49,A21)&gt;0," · feriado",""))</f>
      </c>
      <c r="C21" s="22"/>
      <c r="D21" s="22"/>
      <c r="E21" s="22"/>
      <c r="F21" s="22"/>
      <c r="G21" s="23">
        <f>IF(AND(ISNUMBER(D21),ISNUMBER(E21)),ROUND(MOD(E21-D21,1)*1440,0)/1440,"")</f>
      </c>
      <c r="H21" s="23">
        <f>IF(AND(ISNUMBER(C21),ISNUMBER(F21)),ROUND(MOD(F21-C21,1)*1440,0)/1440-N(G21),"")</f>
      </c>
      <c r="I21" s="23">
        <f>IF(H21="","",MAX(0,ROUND((H21-$G$6/24)*1440,0)/1440))</f>
      </c>
      <c r="J21" s="24">
        <f>IF(AND(ISNUMBER(C21),NOT(ISNUMBER(F21))),"Falta la salida",IF(AND(ISNUMBER(F21),NOT(ISNUMBER(C21))),"Falta el ingreso",IF(AND(ISNUMBER(G21),G21&gt;0,G21&lt;45/1440),"Refrigerio menor a 45 min","")))</f>
      </c>
      <c r="K21" s="25"/>
      <c r="L21" s="25"/>
    </row>
    <row r="22" ht="20" customHeight="1" spans="1:12" x14ac:dyDescent="0.25">
      <c r="A22" s="20">
        <f>IF($N$4+13&lt;$N$5,$N$4+13,"")</f>
      </c>
      <c r="B22" s="21">
        <f>IF(A22="","",INDEX(Listas!$A$2:$A$8,WEEKDAY(A22))&amp;IF(COUNTIF(Feriados!$A$6:$A$49,A22)&gt;0," · feriado",""))</f>
      </c>
      <c r="C22" s="22"/>
      <c r="D22" s="22"/>
      <c r="E22" s="22"/>
      <c r="F22" s="22"/>
      <c r="G22" s="23">
        <f>IF(AND(ISNUMBER(D22),ISNUMBER(E22)),ROUND(MOD(E22-D22,1)*1440,0)/1440,"")</f>
      </c>
      <c r="H22" s="23">
        <f>IF(AND(ISNUMBER(C22),ISNUMBER(F22)),ROUND(MOD(F22-C22,1)*1440,0)/1440-N(G22),"")</f>
      </c>
      <c r="I22" s="23">
        <f>IF(H22="","",MAX(0,ROUND((H22-$G$6/24)*1440,0)/1440))</f>
      </c>
      <c r="J22" s="24">
        <f>IF(AND(ISNUMBER(C22),NOT(ISNUMBER(F22))),"Falta la salida",IF(AND(ISNUMBER(F22),NOT(ISNUMBER(C22))),"Falta el ingreso",IF(AND(ISNUMBER(G22),G22&gt;0,G22&lt;45/1440),"Refrigerio menor a 45 min","")))</f>
      </c>
      <c r="K22" s="25"/>
      <c r="L22" s="25"/>
    </row>
    <row r="23" ht="20" customHeight="1" spans="1:12" x14ac:dyDescent="0.25">
      <c r="A23" s="20">
        <f>IF($N$4+14&lt;$N$5,$N$4+14,"")</f>
      </c>
      <c r="B23" s="21">
        <f>IF(A23="","",INDEX(Listas!$A$2:$A$8,WEEKDAY(A23))&amp;IF(COUNTIF(Feriados!$A$6:$A$49,A23)&gt;0," · feriado",""))</f>
      </c>
      <c r="C23" s="22"/>
      <c r="D23" s="22"/>
      <c r="E23" s="22"/>
      <c r="F23" s="22"/>
      <c r="G23" s="23">
        <f>IF(AND(ISNUMBER(D23),ISNUMBER(E23)),ROUND(MOD(E23-D23,1)*1440,0)/1440,"")</f>
      </c>
      <c r="H23" s="23">
        <f>IF(AND(ISNUMBER(C23),ISNUMBER(F23)),ROUND(MOD(F23-C23,1)*1440,0)/1440-N(G23),"")</f>
      </c>
      <c r="I23" s="23">
        <f>IF(H23="","",MAX(0,ROUND((H23-$G$6/24)*1440,0)/1440))</f>
      </c>
      <c r="J23" s="24">
        <f>IF(AND(ISNUMBER(C23),NOT(ISNUMBER(F23))),"Falta la salida",IF(AND(ISNUMBER(F23),NOT(ISNUMBER(C23))),"Falta el ingreso",IF(AND(ISNUMBER(G23),G23&gt;0,G23&lt;45/1440),"Refrigerio menor a 45 min","")))</f>
      </c>
      <c r="K23" s="25"/>
      <c r="L23" s="25"/>
    </row>
    <row r="24" ht="20" customHeight="1" spans="1:12" x14ac:dyDescent="0.25">
      <c r="A24" s="20">
        <f>IF($N$4+15&lt;$N$5,$N$4+15,"")</f>
      </c>
      <c r="B24" s="21">
        <f>IF(A24="","",INDEX(Listas!$A$2:$A$8,WEEKDAY(A24))&amp;IF(COUNTIF(Feriados!$A$6:$A$49,A24)&gt;0," · feriado",""))</f>
      </c>
      <c r="C24" s="22"/>
      <c r="D24" s="22"/>
      <c r="E24" s="22"/>
      <c r="F24" s="22"/>
      <c r="G24" s="23">
        <f>IF(AND(ISNUMBER(D24),ISNUMBER(E24)),ROUND(MOD(E24-D24,1)*1440,0)/1440,"")</f>
      </c>
      <c r="H24" s="23">
        <f>IF(AND(ISNUMBER(C24),ISNUMBER(F24)),ROUND(MOD(F24-C24,1)*1440,0)/1440-N(G24),"")</f>
      </c>
      <c r="I24" s="23">
        <f>IF(H24="","",MAX(0,ROUND((H24-$G$6/24)*1440,0)/1440))</f>
      </c>
      <c r="J24" s="24">
        <f>IF(AND(ISNUMBER(C24),NOT(ISNUMBER(F24))),"Falta la salida",IF(AND(ISNUMBER(F24),NOT(ISNUMBER(C24))),"Falta el ingreso",IF(AND(ISNUMBER(G24),G24&gt;0,G24&lt;45/1440),"Refrigerio menor a 45 min","")))</f>
      </c>
      <c r="K24" s="25"/>
      <c r="L24" s="25"/>
    </row>
    <row r="25" ht="20" customHeight="1" spans="1:12" x14ac:dyDescent="0.25">
      <c r="A25" s="20">
        <f>IF($N$4+16&lt;$N$5,$N$4+16,"")</f>
      </c>
      <c r="B25" s="21">
        <f>IF(A25="","",INDEX(Listas!$A$2:$A$8,WEEKDAY(A25))&amp;IF(COUNTIF(Feriados!$A$6:$A$49,A25)&gt;0," · feriado",""))</f>
      </c>
      <c r="C25" s="22"/>
      <c r="D25" s="22"/>
      <c r="E25" s="22"/>
      <c r="F25" s="22"/>
      <c r="G25" s="23">
        <f>IF(AND(ISNUMBER(D25),ISNUMBER(E25)),ROUND(MOD(E25-D25,1)*1440,0)/1440,"")</f>
      </c>
      <c r="H25" s="23">
        <f>IF(AND(ISNUMBER(C25),ISNUMBER(F25)),ROUND(MOD(F25-C25,1)*1440,0)/1440-N(G25),"")</f>
      </c>
      <c r="I25" s="23">
        <f>IF(H25="","",MAX(0,ROUND((H25-$G$6/24)*1440,0)/1440))</f>
      </c>
      <c r="J25" s="24">
        <f>IF(AND(ISNUMBER(C25),NOT(ISNUMBER(F25))),"Falta la salida",IF(AND(ISNUMBER(F25),NOT(ISNUMBER(C25))),"Falta el ingreso",IF(AND(ISNUMBER(G25),G25&gt;0,G25&lt;45/1440),"Refrigerio menor a 45 min","")))</f>
      </c>
      <c r="K25" s="25"/>
      <c r="L25" s="25"/>
    </row>
    <row r="26" ht="20" customHeight="1" spans="1:12" x14ac:dyDescent="0.25">
      <c r="A26" s="20">
        <f>IF($N$4+17&lt;$N$5,$N$4+17,"")</f>
      </c>
      <c r="B26" s="21">
        <f>IF(A26="","",INDEX(Listas!$A$2:$A$8,WEEKDAY(A26))&amp;IF(COUNTIF(Feriados!$A$6:$A$49,A26)&gt;0," · feriado",""))</f>
      </c>
      <c r="C26" s="22"/>
      <c r="D26" s="22"/>
      <c r="E26" s="22"/>
      <c r="F26" s="22"/>
      <c r="G26" s="23">
        <f>IF(AND(ISNUMBER(D26),ISNUMBER(E26)),ROUND(MOD(E26-D26,1)*1440,0)/1440,"")</f>
      </c>
      <c r="H26" s="23">
        <f>IF(AND(ISNUMBER(C26),ISNUMBER(F26)),ROUND(MOD(F26-C26,1)*1440,0)/1440-N(G26),"")</f>
      </c>
      <c r="I26" s="23">
        <f>IF(H26="","",MAX(0,ROUND((H26-$G$6/24)*1440,0)/1440))</f>
      </c>
      <c r="J26" s="24">
        <f>IF(AND(ISNUMBER(C26),NOT(ISNUMBER(F26))),"Falta la salida",IF(AND(ISNUMBER(F26),NOT(ISNUMBER(C26))),"Falta el ingreso",IF(AND(ISNUMBER(G26),G26&gt;0,G26&lt;45/1440),"Refrigerio menor a 45 min","")))</f>
      </c>
      <c r="K26" s="25"/>
      <c r="L26" s="25"/>
    </row>
    <row r="27" ht="20" customHeight="1" spans="1:12" x14ac:dyDescent="0.25">
      <c r="A27" s="20">
        <f>IF($N$4+18&lt;$N$5,$N$4+18,"")</f>
      </c>
      <c r="B27" s="21">
        <f>IF(A27="","",INDEX(Listas!$A$2:$A$8,WEEKDAY(A27))&amp;IF(COUNTIF(Feriados!$A$6:$A$49,A27)&gt;0," · feriado",""))</f>
      </c>
      <c r="C27" s="22"/>
      <c r="D27" s="22"/>
      <c r="E27" s="22"/>
      <c r="F27" s="22"/>
      <c r="G27" s="23">
        <f>IF(AND(ISNUMBER(D27),ISNUMBER(E27)),ROUND(MOD(E27-D27,1)*1440,0)/1440,"")</f>
      </c>
      <c r="H27" s="23">
        <f>IF(AND(ISNUMBER(C27),ISNUMBER(F27)),ROUND(MOD(F27-C27,1)*1440,0)/1440-N(G27),"")</f>
      </c>
      <c r="I27" s="23">
        <f>IF(H27="","",MAX(0,ROUND((H27-$G$6/24)*1440,0)/1440))</f>
      </c>
      <c r="J27" s="24">
        <f>IF(AND(ISNUMBER(C27),NOT(ISNUMBER(F27))),"Falta la salida",IF(AND(ISNUMBER(F27),NOT(ISNUMBER(C27))),"Falta el ingreso",IF(AND(ISNUMBER(G27),G27&gt;0,G27&lt;45/1440),"Refrigerio menor a 45 min","")))</f>
      </c>
      <c r="K27" s="25"/>
      <c r="L27" s="25"/>
    </row>
    <row r="28" ht="20" customHeight="1" spans="1:12" x14ac:dyDescent="0.25">
      <c r="A28" s="20">
        <f>IF($N$4+19&lt;$N$5,$N$4+19,"")</f>
      </c>
      <c r="B28" s="21">
        <f>IF(A28="","",INDEX(Listas!$A$2:$A$8,WEEKDAY(A28))&amp;IF(COUNTIF(Feriados!$A$6:$A$49,A28)&gt;0," · feriado",""))</f>
      </c>
      <c r="C28" s="22"/>
      <c r="D28" s="22"/>
      <c r="E28" s="22"/>
      <c r="F28" s="22"/>
      <c r="G28" s="23">
        <f>IF(AND(ISNUMBER(D28),ISNUMBER(E28)),ROUND(MOD(E28-D28,1)*1440,0)/1440,"")</f>
      </c>
      <c r="H28" s="23">
        <f>IF(AND(ISNUMBER(C28),ISNUMBER(F28)),ROUND(MOD(F28-C28,1)*1440,0)/1440-N(G28),"")</f>
      </c>
      <c r="I28" s="23">
        <f>IF(H28="","",MAX(0,ROUND((H28-$G$6/24)*1440,0)/1440))</f>
      </c>
      <c r="J28" s="24">
        <f>IF(AND(ISNUMBER(C28),NOT(ISNUMBER(F28))),"Falta la salida",IF(AND(ISNUMBER(F28),NOT(ISNUMBER(C28))),"Falta el ingreso",IF(AND(ISNUMBER(G28),G28&gt;0,G28&lt;45/1440),"Refrigerio menor a 45 min","")))</f>
      </c>
      <c r="K28" s="25"/>
      <c r="L28" s="25"/>
    </row>
    <row r="29" ht="20" customHeight="1" spans="1:12" x14ac:dyDescent="0.25">
      <c r="A29" s="20">
        <f>IF($N$4+20&lt;$N$5,$N$4+20,"")</f>
      </c>
      <c r="B29" s="21">
        <f>IF(A29="","",INDEX(Listas!$A$2:$A$8,WEEKDAY(A29))&amp;IF(COUNTIF(Feriados!$A$6:$A$49,A29)&gt;0," · feriado",""))</f>
      </c>
      <c r="C29" s="22"/>
      <c r="D29" s="22"/>
      <c r="E29" s="22"/>
      <c r="F29" s="22"/>
      <c r="G29" s="23">
        <f>IF(AND(ISNUMBER(D29),ISNUMBER(E29)),ROUND(MOD(E29-D29,1)*1440,0)/1440,"")</f>
      </c>
      <c r="H29" s="23">
        <f>IF(AND(ISNUMBER(C29),ISNUMBER(F29)),ROUND(MOD(F29-C29,1)*1440,0)/1440-N(G29),"")</f>
      </c>
      <c r="I29" s="23">
        <f>IF(H29="","",MAX(0,ROUND((H29-$G$6/24)*1440,0)/1440))</f>
      </c>
      <c r="J29" s="24">
        <f>IF(AND(ISNUMBER(C29),NOT(ISNUMBER(F29))),"Falta la salida",IF(AND(ISNUMBER(F29),NOT(ISNUMBER(C29))),"Falta el ingreso",IF(AND(ISNUMBER(G29),G29&gt;0,G29&lt;45/1440),"Refrigerio menor a 45 min","")))</f>
      </c>
      <c r="K29" s="25"/>
      <c r="L29" s="25"/>
    </row>
    <row r="30" ht="20" customHeight="1" spans="1:12" x14ac:dyDescent="0.25">
      <c r="A30" s="20">
        <f>IF($N$4+21&lt;$N$5,$N$4+21,"")</f>
      </c>
      <c r="B30" s="21">
        <f>IF(A30="","",INDEX(Listas!$A$2:$A$8,WEEKDAY(A30))&amp;IF(COUNTIF(Feriados!$A$6:$A$49,A30)&gt;0," · feriado",""))</f>
      </c>
      <c r="C30" s="22"/>
      <c r="D30" s="22"/>
      <c r="E30" s="22"/>
      <c r="F30" s="22"/>
      <c r="G30" s="23">
        <f>IF(AND(ISNUMBER(D30),ISNUMBER(E30)),ROUND(MOD(E30-D30,1)*1440,0)/1440,"")</f>
      </c>
      <c r="H30" s="23">
        <f>IF(AND(ISNUMBER(C30),ISNUMBER(F30)),ROUND(MOD(F30-C30,1)*1440,0)/1440-N(G30),"")</f>
      </c>
      <c r="I30" s="23">
        <f>IF(H30="","",MAX(0,ROUND((H30-$G$6/24)*1440,0)/1440))</f>
      </c>
      <c r="J30" s="24">
        <f>IF(AND(ISNUMBER(C30),NOT(ISNUMBER(F30))),"Falta la salida",IF(AND(ISNUMBER(F30),NOT(ISNUMBER(C30))),"Falta el ingreso",IF(AND(ISNUMBER(G30),G30&gt;0,G30&lt;45/1440),"Refrigerio menor a 45 min","")))</f>
      </c>
      <c r="K30" s="25"/>
      <c r="L30" s="25"/>
    </row>
    <row r="31" ht="20" customHeight="1" spans="1:12" x14ac:dyDescent="0.25">
      <c r="A31" s="20">
        <f>IF($N$4+22&lt;$N$5,$N$4+22,"")</f>
      </c>
      <c r="B31" s="21">
        <f>IF(A31="","",INDEX(Listas!$A$2:$A$8,WEEKDAY(A31))&amp;IF(COUNTIF(Feriados!$A$6:$A$49,A31)&gt;0," · feriado",""))</f>
      </c>
      <c r="C31" s="22"/>
      <c r="D31" s="22"/>
      <c r="E31" s="22"/>
      <c r="F31" s="22"/>
      <c r="G31" s="23">
        <f>IF(AND(ISNUMBER(D31),ISNUMBER(E31)),ROUND(MOD(E31-D31,1)*1440,0)/1440,"")</f>
      </c>
      <c r="H31" s="23">
        <f>IF(AND(ISNUMBER(C31),ISNUMBER(F31)),ROUND(MOD(F31-C31,1)*1440,0)/1440-N(G31),"")</f>
      </c>
      <c r="I31" s="23">
        <f>IF(H31="","",MAX(0,ROUND((H31-$G$6/24)*1440,0)/1440))</f>
      </c>
      <c r="J31" s="24">
        <f>IF(AND(ISNUMBER(C31),NOT(ISNUMBER(F31))),"Falta la salida",IF(AND(ISNUMBER(F31),NOT(ISNUMBER(C31))),"Falta el ingreso",IF(AND(ISNUMBER(G31),G31&gt;0,G31&lt;45/1440),"Refrigerio menor a 45 min","")))</f>
      </c>
      <c r="K31" s="25"/>
      <c r="L31" s="25"/>
    </row>
    <row r="32" ht="20" customHeight="1" spans="1:12" x14ac:dyDescent="0.25">
      <c r="A32" s="20">
        <f>IF($N$4+23&lt;$N$5,$N$4+23,"")</f>
      </c>
      <c r="B32" s="21">
        <f>IF(A32="","",INDEX(Listas!$A$2:$A$8,WEEKDAY(A32))&amp;IF(COUNTIF(Feriados!$A$6:$A$49,A32)&gt;0," · feriado",""))</f>
      </c>
      <c r="C32" s="22"/>
      <c r="D32" s="22"/>
      <c r="E32" s="22"/>
      <c r="F32" s="22"/>
      <c r="G32" s="23">
        <f>IF(AND(ISNUMBER(D32),ISNUMBER(E32)),ROUND(MOD(E32-D32,1)*1440,0)/1440,"")</f>
      </c>
      <c r="H32" s="23">
        <f>IF(AND(ISNUMBER(C32),ISNUMBER(F32)),ROUND(MOD(F32-C32,1)*1440,0)/1440-N(G32),"")</f>
      </c>
      <c r="I32" s="23">
        <f>IF(H32="","",MAX(0,ROUND((H32-$G$6/24)*1440,0)/1440))</f>
      </c>
      <c r="J32" s="24">
        <f>IF(AND(ISNUMBER(C32),NOT(ISNUMBER(F32))),"Falta la salida",IF(AND(ISNUMBER(F32),NOT(ISNUMBER(C32))),"Falta el ingreso",IF(AND(ISNUMBER(G32),G32&gt;0,G32&lt;45/1440),"Refrigerio menor a 45 min","")))</f>
      </c>
      <c r="K32" s="25"/>
      <c r="L32" s="25"/>
    </row>
    <row r="33" ht="20" customHeight="1" spans="1:12" x14ac:dyDescent="0.25">
      <c r="A33" s="20">
        <f>IF($N$4+24&lt;$N$5,$N$4+24,"")</f>
      </c>
      <c r="B33" s="21">
        <f>IF(A33="","",INDEX(Listas!$A$2:$A$8,WEEKDAY(A33))&amp;IF(COUNTIF(Feriados!$A$6:$A$49,A33)&gt;0," · feriado",""))</f>
      </c>
      <c r="C33" s="22"/>
      <c r="D33" s="22"/>
      <c r="E33" s="22"/>
      <c r="F33" s="22"/>
      <c r="G33" s="23">
        <f>IF(AND(ISNUMBER(D33),ISNUMBER(E33)),ROUND(MOD(E33-D33,1)*1440,0)/1440,"")</f>
      </c>
      <c r="H33" s="23">
        <f>IF(AND(ISNUMBER(C33),ISNUMBER(F33)),ROUND(MOD(F33-C33,1)*1440,0)/1440-N(G33),"")</f>
      </c>
      <c r="I33" s="23">
        <f>IF(H33="","",MAX(0,ROUND((H33-$G$6/24)*1440,0)/1440))</f>
      </c>
      <c r="J33" s="24">
        <f>IF(AND(ISNUMBER(C33),NOT(ISNUMBER(F33))),"Falta la salida",IF(AND(ISNUMBER(F33),NOT(ISNUMBER(C33))),"Falta el ingreso",IF(AND(ISNUMBER(G33),G33&gt;0,G33&lt;45/1440),"Refrigerio menor a 45 min","")))</f>
      </c>
      <c r="K33" s="25"/>
      <c r="L33" s="25"/>
    </row>
    <row r="34" ht="20" customHeight="1" spans="1:12" x14ac:dyDescent="0.25">
      <c r="A34" s="20">
        <f>IF($N$4+25&lt;$N$5,$N$4+25,"")</f>
      </c>
      <c r="B34" s="21">
        <f>IF(A34="","",INDEX(Listas!$A$2:$A$8,WEEKDAY(A34))&amp;IF(COUNTIF(Feriados!$A$6:$A$49,A34)&gt;0," · feriado",""))</f>
      </c>
      <c r="C34" s="22"/>
      <c r="D34" s="22"/>
      <c r="E34" s="22"/>
      <c r="F34" s="22"/>
      <c r="G34" s="23">
        <f>IF(AND(ISNUMBER(D34),ISNUMBER(E34)),ROUND(MOD(E34-D34,1)*1440,0)/1440,"")</f>
      </c>
      <c r="H34" s="23">
        <f>IF(AND(ISNUMBER(C34),ISNUMBER(F34)),ROUND(MOD(F34-C34,1)*1440,0)/1440-N(G34),"")</f>
      </c>
      <c r="I34" s="23">
        <f>IF(H34="","",MAX(0,ROUND((H34-$G$6/24)*1440,0)/1440))</f>
      </c>
      <c r="J34" s="24">
        <f>IF(AND(ISNUMBER(C34),NOT(ISNUMBER(F34))),"Falta la salida",IF(AND(ISNUMBER(F34),NOT(ISNUMBER(C34))),"Falta el ingreso",IF(AND(ISNUMBER(G34),G34&gt;0,G34&lt;45/1440),"Refrigerio menor a 45 min","")))</f>
      </c>
      <c r="K34" s="25"/>
      <c r="L34" s="25"/>
    </row>
    <row r="35" ht="20" customHeight="1" spans="1:12" x14ac:dyDescent="0.25">
      <c r="A35" s="20">
        <f>IF($N$4+26&lt;$N$5,$N$4+26,"")</f>
      </c>
      <c r="B35" s="21">
        <f>IF(A35="","",INDEX(Listas!$A$2:$A$8,WEEKDAY(A35))&amp;IF(COUNTIF(Feriados!$A$6:$A$49,A35)&gt;0," · feriado",""))</f>
      </c>
      <c r="C35" s="22"/>
      <c r="D35" s="22"/>
      <c r="E35" s="22"/>
      <c r="F35" s="22"/>
      <c r="G35" s="23">
        <f>IF(AND(ISNUMBER(D35),ISNUMBER(E35)),ROUND(MOD(E35-D35,1)*1440,0)/1440,"")</f>
      </c>
      <c r="H35" s="23">
        <f>IF(AND(ISNUMBER(C35),ISNUMBER(F35)),ROUND(MOD(F35-C35,1)*1440,0)/1440-N(G35),"")</f>
      </c>
      <c r="I35" s="23">
        <f>IF(H35="","",MAX(0,ROUND((H35-$G$6/24)*1440,0)/1440))</f>
      </c>
      <c r="J35" s="24">
        <f>IF(AND(ISNUMBER(C35),NOT(ISNUMBER(F35))),"Falta la salida",IF(AND(ISNUMBER(F35),NOT(ISNUMBER(C35))),"Falta el ingreso",IF(AND(ISNUMBER(G35),G35&gt;0,G35&lt;45/1440),"Refrigerio menor a 45 min","")))</f>
      </c>
      <c r="K35" s="25"/>
      <c r="L35" s="25"/>
    </row>
    <row r="36" ht="20" customHeight="1" spans="1:12" x14ac:dyDescent="0.25">
      <c r="A36" s="20">
        <f>IF($N$4+27&lt;$N$5,$N$4+27,"")</f>
      </c>
      <c r="B36" s="21">
        <f>IF(A36="","",INDEX(Listas!$A$2:$A$8,WEEKDAY(A36))&amp;IF(COUNTIF(Feriados!$A$6:$A$49,A36)&gt;0," · feriado",""))</f>
      </c>
      <c r="C36" s="22"/>
      <c r="D36" s="22"/>
      <c r="E36" s="22"/>
      <c r="F36" s="22"/>
      <c r="G36" s="23">
        <f>IF(AND(ISNUMBER(D36),ISNUMBER(E36)),ROUND(MOD(E36-D36,1)*1440,0)/1440,"")</f>
      </c>
      <c r="H36" s="23">
        <f>IF(AND(ISNUMBER(C36),ISNUMBER(F36)),ROUND(MOD(F36-C36,1)*1440,0)/1440-N(G36),"")</f>
      </c>
      <c r="I36" s="23">
        <f>IF(H36="","",MAX(0,ROUND((H36-$G$6/24)*1440,0)/1440))</f>
      </c>
      <c r="J36" s="24">
        <f>IF(AND(ISNUMBER(C36),NOT(ISNUMBER(F36))),"Falta la salida",IF(AND(ISNUMBER(F36),NOT(ISNUMBER(C36))),"Falta el ingreso",IF(AND(ISNUMBER(G36),G36&gt;0,G36&lt;45/1440),"Refrigerio menor a 45 min","")))</f>
      </c>
      <c r="K36" s="25"/>
      <c r="L36" s="25"/>
    </row>
    <row r="37" ht="20" customHeight="1" spans="1:12" x14ac:dyDescent="0.25">
      <c r="A37" s="20">
        <f>IF($N$4+28&lt;$N$5,$N$4+28,"")</f>
      </c>
      <c r="B37" s="21">
        <f>IF(A37="","",INDEX(Listas!$A$2:$A$8,WEEKDAY(A37))&amp;IF(COUNTIF(Feriados!$A$6:$A$49,A37)&gt;0," · feriado",""))</f>
      </c>
      <c r="C37" s="22"/>
      <c r="D37" s="22"/>
      <c r="E37" s="22"/>
      <c r="F37" s="22"/>
      <c r="G37" s="23">
        <f>IF(AND(ISNUMBER(D37),ISNUMBER(E37)),ROUND(MOD(E37-D37,1)*1440,0)/1440,"")</f>
      </c>
      <c r="H37" s="23">
        <f>IF(AND(ISNUMBER(C37),ISNUMBER(F37)),ROUND(MOD(F37-C37,1)*1440,0)/1440-N(G37),"")</f>
      </c>
      <c r="I37" s="23">
        <f>IF(H37="","",MAX(0,ROUND((H37-$G$6/24)*1440,0)/1440))</f>
      </c>
      <c r="J37" s="24">
        <f>IF(AND(ISNUMBER(C37),NOT(ISNUMBER(F37))),"Falta la salida",IF(AND(ISNUMBER(F37),NOT(ISNUMBER(C37))),"Falta el ingreso",IF(AND(ISNUMBER(G37),G37&gt;0,G37&lt;45/1440),"Refrigerio menor a 45 min","")))</f>
      </c>
      <c r="K37" s="25"/>
      <c r="L37" s="25"/>
    </row>
    <row r="38" ht="20" customHeight="1" spans="1:12" x14ac:dyDescent="0.25">
      <c r="A38" s="20">
        <f>IF($N$4+29&lt;$N$5,$N$4+29,"")</f>
      </c>
      <c r="B38" s="21">
        <f>IF(A38="","",INDEX(Listas!$A$2:$A$8,WEEKDAY(A38))&amp;IF(COUNTIF(Feriados!$A$6:$A$49,A38)&gt;0," · feriado",""))</f>
      </c>
      <c r="C38" s="22"/>
      <c r="D38" s="22"/>
      <c r="E38" s="22"/>
      <c r="F38" s="22"/>
      <c r="G38" s="23">
        <f>IF(AND(ISNUMBER(D38),ISNUMBER(E38)),ROUND(MOD(E38-D38,1)*1440,0)/1440,"")</f>
      </c>
      <c r="H38" s="23">
        <f>IF(AND(ISNUMBER(C38),ISNUMBER(F38)),ROUND(MOD(F38-C38,1)*1440,0)/1440-N(G38),"")</f>
      </c>
      <c r="I38" s="23">
        <f>IF(H38="","",MAX(0,ROUND((H38-$G$6/24)*1440,0)/1440))</f>
      </c>
      <c r="J38" s="24">
        <f>IF(AND(ISNUMBER(C38),NOT(ISNUMBER(F38))),"Falta la salida",IF(AND(ISNUMBER(F38),NOT(ISNUMBER(C38))),"Falta el ingreso",IF(AND(ISNUMBER(G38),G38&gt;0,G38&lt;45/1440),"Refrigerio menor a 45 min","")))</f>
      </c>
      <c r="K38" s="25"/>
      <c r="L38" s="25"/>
    </row>
    <row r="39" ht="20" customHeight="1" spans="1:12" x14ac:dyDescent="0.25">
      <c r="A39" s="20">
        <f>IF($N$4+30&lt;$N$5,$N$4+30,"")</f>
      </c>
      <c r="B39" s="21">
        <f>IF(A39="","",INDEX(Listas!$A$2:$A$8,WEEKDAY(A39))&amp;IF(COUNTIF(Feriados!$A$6:$A$49,A39)&gt;0," · feriado",""))</f>
      </c>
      <c r="C39" s="22"/>
      <c r="D39" s="22"/>
      <c r="E39" s="22"/>
      <c r="F39" s="22"/>
      <c r="G39" s="23">
        <f>IF(AND(ISNUMBER(D39),ISNUMBER(E39)),ROUND(MOD(E39-D39,1)*1440,0)/1440,"")</f>
      </c>
      <c r="H39" s="23">
        <f>IF(AND(ISNUMBER(C39),ISNUMBER(F39)),ROUND(MOD(F39-C39,1)*1440,0)/1440-N(G39),"")</f>
      </c>
      <c r="I39" s="23">
        <f>IF(H39="","",MAX(0,ROUND((H39-$G$6/24)*1440,0)/1440))</f>
      </c>
      <c r="J39" s="24">
        <f>IF(AND(ISNUMBER(C39),NOT(ISNUMBER(F39))),"Falta la salida",IF(AND(ISNUMBER(F39),NOT(ISNUMBER(C39))),"Falta el ingreso",IF(AND(ISNUMBER(G39),G39&gt;0,G39&lt;45/1440),"Refrigerio menor a 45 min","")))</f>
      </c>
      <c r="K39" s="25"/>
      <c r="L39" s="25"/>
    </row>
    <row r="40" spans="7:9" x14ac:dyDescent="0.25">
      <c r="G40" s="16" t="s">
        <v>50</v>
      </c>
      <c r="H40" s="26">
        <f>SUM(H9:H39)</f>
      </c>
      <c r="I40" s="26">
        <f>SUM(I9:I39)</f>
      </c>
    </row>
    <row r="42" spans="1:1" x14ac:dyDescent="0.25">
      <c r="A42" s="6" t="s">
        <v>17</v>
      </c>
    </row>
    <row r="43" spans="1:1" x14ac:dyDescent="0.25">
      <c r="A43" s="7" t="s">
        <v>18</v>
      </c>
    </row>
    <row r="44" spans="1:1" x14ac:dyDescent="0.25">
      <c r="A44" s="8" t="s">
        <v>19</v>
      </c>
    </row>
    <row r="45" spans="1:1" x14ac:dyDescent="0.25">
      <c r="A45" s="7" t="s">
        <v>20</v>
      </c>
    </row>
  </sheetData>
  <mergeCells count="7">
    <mergeCell ref="A1:L1"/>
    <mergeCell ref="A2:L2"/>
    <mergeCell ref="A3:L3"/>
    <mergeCell ref="B4:E4"/>
    <mergeCell ref="G4:I4"/>
    <mergeCell ref="B5:E5"/>
    <mergeCell ref="G5:I5"/>
  </mergeCells>
  <conditionalFormatting sqref="A9:B39">
    <cfRule type="expression" dxfId="9" priority="1">
      <formula>RIGHT($B9,7)="feriado"</formula>
    </cfRule>
  </conditionalFormatting>
  <hyperlinks>
    <hyperlink ref="A44" r:id="rId1"/>
  </hyperlinks>
  <pageSetup paperSize="9" orientation="landscape" fitToWidth="1" fitToHeight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1" customWidth="1"/>
    <col min="4" max="5" width="13" customWidth="1"/>
    <col min="6" max="6" width="11" customWidth="1"/>
    <col min="7" max="8" width="12" customWidth="1"/>
    <col min="9" max="9" width="13" customWidth="1"/>
    <col min="10" max="10" width="24" customWidth="1"/>
    <col min="11" max="11" width="30" customWidth="1"/>
    <col min="12" max="12" width="22" customWidth="1"/>
    <col min="13" max="13" width="4" customWidth="1"/>
    <col min="14" max="14" width="12" hidden="1" customWidth="1"/>
  </cols>
  <sheetData>
    <row r="1" ht="3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 spans="1:12" x14ac:dyDescent="0.25">
      <c r="A2" s="2" t="s">
        <v>69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2" customHeight="1" spans="1:12" x14ac:dyDescent="0.25">
      <c r="A3" s="9" t="s">
        <v>31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x14ac:dyDescent="0.25">
      <c r="A4" s="10" t="s">
        <v>32</v>
      </c>
      <c r="B4" s="14">
        <f>IF(Datos!$B$5="","",Datos!$B$5)</f>
      </c>
      <c r="C4" s="14"/>
      <c r="D4" s="14"/>
      <c r="E4" s="14"/>
      <c r="F4" s="10" t="s">
        <v>33</v>
      </c>
      <c r="G4" s="14">
        <f>IF(Datos!$B$6="","",Datos!$B$6)</f>
      </c>
      <c r="H4" s="14"/>
      <c r="I4" s="14"/>
      <c r="N4" s="15">
        <f>INDEX(Listas!$C$2:$C$62,($D$6-2026)*12+11)</f>
      </c>
    </row>
    <row r="5" spans="1:14" x14ac:dyDescent="0.25">
      <c r="A5" s="10" t="s">
        <v>34</v>
      </c>
      <c r="B5" s="14">
        <f>IF(Datos!$B$7="","",Datos!$B$7)</f>
      </c>
      <c r="C5" s="14"/>
      <c r="D5" s="14"/>
      <c r="E5" s="14"/>
      <c r="F5" s="10" t="s">
        <v>35</v>
      </c>
      <c r="G5" s="14">
        <f>IF(Datos!$B$8="","",Datos!$B$8)</f>
      </c>
      <c r="H5" s="14"/>
      <c r="I5" s="14"/>
      <c r="N5" s="15">
        <f>INDEX(Listas!$C$2:$C$62,($D$6-2026)*12+12)</f>
      </c>
    </row>
    <row r="6" spans="1:7" x14ac:dyDescent="0.25">
      <c r="A6" s="10" t="s">
        <v>36</v>
      </c>
      <c r="B6" s="16" t="s">
        <v>70</v>
      </c>
      <c r="C6" s="10" t="s">
        <v>38</v>
      </c>
      <c r="D6" s="17">
        <f>Datos!$B$10</f>
      </c>
      <c r="F6" s="10" t="s">
        <v>39</v>
      </c>
      <c r="G6" s="18">
        <f>Datos!$B$9</f>
      </c>
    </row>
    <row r="8" ht="42" customHeight="1" spans="1:12" x14ac:dyDescent="0.25">
      <c r="A8" s="19" t="s">
        <v>40</v>
      </c>
      <c r="B8" s="19" t="s">
        <v>41</v>
      </c>
      <c r="C8" s="19" t="s">
        <v>42</v>
      </c>
      <c r="D8" s="19" t="s">
        <v>43</v>
      </c>
      <c r="E8" s="19" t="s">
        <v>44</v>
      </c>
      <c r="F8" s="19" t="s">
        <v>45</v>
      </c>
      <c r="G8" s="19" t="s">
        <v>9</v>
      </c>
      <c r="H8" s="19" t="s">
        <v>46</v>
      </c>
      <c r="I8" s="19" t="s">
        <v>11</v>
      </c>
      <c r="J8" s="19" t="s">
        <v>47</v>
      </c>
      <c r="K8" s="19" t="s">
        <v>48</v>
      </c>
      <c r="L8" s="19" t="s">
        <v>49</v>
      </c>
    </row>
    <row r="9" ht="20" customHeight="1" spans="1:12" x14ac:dyDescent="0.25">
      <c r="A9" s="20">
        <f>IF($N$4+0&lt;$N$5,$N$4+0,"")</f>
      </c>
      <c r="B9" s="21">
        <f>IF(A9="","",INDEX(Listas!$A$2:$A$8,WEEKDAY(A9))&amp;IF(COUNTIF(Feriados!$A$6:$A$49,A9)&gt;0," · feriado",""))</f>
      </c>
      <c r="C9" s="22"/>
      <c r="D9" s="22"/>
      <c r="E9" s="22"/>
      <c r="F9" s="22"/>
      <c r="G9" s="23">
        <f>IF(AND(ISNUMBER(D9),ISNUMBER(E9)),ROUND(MOD(E9-D9,1)*1440,0)/1440,"")</f>
      </c>
      <c r="H9" s="23">
        <f>IF(AND(ISNUMBER(C9),ISNUMBER(F9)),ROUND(MOD(F9-C9,1)*1440,0)/1440-N(G9),"")</f>
      </c>
      <c r="I9" s="23">
        <f>IF(H9="","",MAX(0,ROUND((H9-$G$6/24)*1440,0)/1440))</f>
      </c>
      <c r="J9" s="24">
        <f>IF(AND(ISNUMBER(C9),NOT(ISNUMBER(F9))),"Falta la salida",IF(AND(ISNUMBER(F9),NOT(ISNUMBER(C9))),"Falta el ingreso",IF(AND(ISNUMBER(G9),G9&gt;0,G9&lt;45/1440),"Refrigerio menor a 45 min","")))</f>
      </c>
      <c r="K9" s="25"/>
      <c r="L9" s="25"/>
    </row>
    <row r="10" ht="20" customHeight="1" spans="1:12" x14ac:dyDescent="0.25">
      <c r="A10" s="20">
        <f>IF($N$4+1&lt;$N$5,$N$4+1,"")</f>
      </c>
      <c r="B10" s="21">
        <f>IF(A10="","",INDEX(Listas!$A$2:$A$8,WEEKDAY(A10))&amp;IF(COUNTIF(Feriados!$A$6:$A$49,A10)&gt;0," · feriado",""))</f>
      </c>
      <c r="C10" s="22"/>
      <c r="D10" s="22"/>
      <c r="E10" s="22"/>
      <c r="F10" s="22"/>
      <c r="G10" s="23">
        <f>IF(AND(ISNUMBER(D10),ISNUMBER(E10)),ROUND(MOD(E10-D10,1)*1440,0)/1440,"")</f>
      </c>
      <c r="H10" s="23">
        <f>IF(AND(ISNUMBER(C10),ISNUMBER(F10)),ROUND(MOD(F10-C10,1)*1440,0)/1440-N(G10),"")</f>
      </c>
      <c r="I10" s="23">
        <f>IF(H10="","",MAX(0,ROUND((H10-$G$6/24)*1440,0)/1440))</f>
      </c>
      <c r="J10" s="24">
        <f>IF(AND(ISNUMBER(C10),NOT(ISNUMBER(F10))),"Falta la salida",IF(AND(ISNUMBER(F10),NOT(ISNUMBER(C10))),"Falta el ingreso",IF(AND(ISNUMBER(G10),G10&gt;0,G10&lt;45/1440),"Refrigerio menor a 45 min","")))</f>
      </c>
      <c r="K10" s="25"/>
      <c r="L10" s="25"/>
    </row>
    <row r="11" ht="20" customHeight="1" spans="1:12" x14ac:dyDescent="0.25">
      <c r="A11" s="20">
        <f>IF($N$4+2&lt;$N$5,$N$4+2,"")</f>
      </c>
      <c r="B11" s="21">
        <f>IF(A11="","",INDEX(Listas!$A$2:$A$8,WEEKDAY(A11))&amp;IF(COUNTIF(Feriados!$A$6:$A$49,A11)&gt;0," · feriado",""))</f>
      </c>
      <c r="C11" s="22"/>
      <c r="D11" s="22"/>
      <c r="E11" s="22"/>
      <c r="F11" s="22"/>
      <c r="G11" s="23">
        <f>IF(AND(ISNUMBER(D11),ISNUMBER(E11)),ROUND(MOD(E11-D11,1)*1440,0)/1440,"")</f>
      </c>
      <c r="H11" s="23">
        <f>IF(AND(ISNUMBER(C11),ISNUMBER(F11)),ROUND(MOD(F11-C11,1)*1440,0)/1440-N(G11),"")</f>
      </c>
      <c r="I11" s="23">
        <f>IF(H11="","",MAX(0,ROUND((H11-$G$6/24)*1440,0)/1440))</f>
      </c>
      <c r="J11" s="24">
        <f>IF(AND(ISNUMBER(C11),NOT(ISNUMBER(F11))),"Falta la salida",IF(AND(ISNUMBER(F11),NOT(ISNUMBER(C11))),"Falta el ingreso",IF(AND(ISNUMBER(G11),G11&gt;0,G11&lt;45/1440),"Refrigerio menor a 45 min","")))</f>
      </c>
      <c r="K11" s="25"/>
      <c r="L11" s="25"/>
    </row>
    <row r="12" ht="20" customHeight="1" spans="1:12" x14ac:dyDescent="0.25">
      <c r="A12" s="20">
        <f>IF($N$4+3&lt;$N$5,$N$4+3,"")</f>
      </c>
      <c r="B12" s="21">
        <f>IF(A12="","",INDEX(Listas!$A$2:$A$8,WEEKDAY(A12))&amp;IF(COUNTIF(Feriados!$A$6:$A$49,A12)&gt;0," · feriado",""))</f>
      </c>
      <c r="C12" s="22"/>
      <c r="D12" s="22"/>
      <c r="E12" s="22"/>
      <c r="F12" s="22"/>
      <c r="G12" s="23">
        <f>IF(AND(ISNUMBER(D12),ISNUMBER(E12)),ROUND(MOD(E12-D12,1)*1440,0)/1440,"")</f>
      </c>
      <c r="H12" s="23">
        <f>IF(AND(ISNUMBER(C12),ISNUMBER(F12)),ROUND(MOD(F12-C12,1)*1440,0)/1440-N(G12),"")</f>
      </c>
      <c r="I12" s="23">
        <f>IF(H12="","",MAX(0,ROUND((H12-$G$6/24)*1440,0)/1440))</f>
      </c>
      <c r="J12" s="24">
        <f>IF(AND(ISNUMBER(C12),NOT(ISNUMBER(F12))),"Falta la salida",IF(AND(ISNUMBER(F12),NOT(ISNUMBER(C12))),"Falta el ingreso",IF(AND(ISNUMBER(G12),G12&gt;0,G12&lt;45/1440),"Refrigerio menor a 45 min","")))</f>
      </c>
      <c r="K12" s="25"/>
      <c r="L12" s="25"/>
    </row>
    <row r="13" ht="20" customHeight="1" spans="1:12" x14ac:dyDescent="0.25">
      <c r="A13" s="20">
        <f>IF($N$4+4&lt;$N$5,$N$4+4,"")</f>
      </c>
      <c r="B13" s="21">
        <f>IF(A13="","",INDEX(Listas!$A$2:$A$8,WEEKDAY(A13))&amp;IF(COUNTIF(Feriados!$A$6:$A$49,A13)&gt;0," · feriado",""))</f>
      </c>
      <c r="C13" s="22"/>
      <c r="D13" s="22"/>
      <c r="E13" s="22"/>
      <c r="F13" s="22"/>
      <c r="G13" s="23">
        <f>IF(AND(ISNUMBER(D13),ISNUMBER(E13)),ROUND(MOD(E13-D13,1)*1440,0)/1440,"")</f>
      </c>
      <c r="H13" s="23">
        <f>IF(AND(ISNUMBER(C13),ISNUMBER(F13)),ROUND(MOD(F13-C13,1)*1440,0)/1440-N(G13),"")</f>
      </c>
      <c r="I13" s="23">
        <f>IF(H13="","",MAX(0,ROUND((H13-$G$6/24)*1440,0)/1440))</f>
      </c>
      <c r="J13" s="24">
        <f>IF(AND(ISNUMBER(C13),NOT(ISNUMBER(F13))),"Falta la salida",IF(AND(ISNUMBER(F13),NOT(ISNUMBER(C13))),"Falta el ingreso",IF(AND(ISNUMBER(G13),G13&gt;0,G13&lt;45/1440),"Refrigerio menor a 45 min","")))</f>
      </c>
      <c r="K13" s="25"/>
      <c r="L13" s="25"/>
    </row>
    <row r="14" ht="20" customHeight="1" spans="1:12" x14ac:dyDescent="0.25">
      <c r="A14" s="20">
        <f>IF($N$4+5&lt;$N$5,$N$4+5,"")</f>
      </c>
      <c r="B14" s="21">
        <f>IF(A14="","",INDEX(Listas!$A$2:$A$8,WEEKDAY(A14))&amp;IF(COUNTIF(Feriados!$A$6:$A$49,A14)&gt;0," · feriado",""))</f>
      </c>
      <c r="C14" s="22"/>
      <c r="D14" s="22"/>
      <c r="E14" s="22"/>
      <c r="F14" s="22"/>
      <c r="G14" s="23">
        <f>IF(AND(ISNUMBER(D14),ISNUMBER(E14)),ROUND(MOD(E14-D14,1)*1440,0)/1440,"")</f>
      </c>
      <c r="H14" s="23">
        <f>IF(AND(ISNUMBER(C14),ISNUMBER(F14)),ROUND(MOD(F14-C14,1)*1440,0)/1440-N(G14),"")</f>
      </c>
      <c r="I14" s="23">
        <f>IF(H14="","",MAX(0,ROUND((H14-$G$6/24)*1440,0)/1440))</f>
      </c>
      <c r="J14" s="24">
        <f>IF(AND(ISNUMBER(C14),NOT(ISNUMBER(F14))),"Falta la salida",IF(AND(ISNUMBER(F14),NOT(ISNUMBER(C14))),"Falta el ingreso",IF(AND(ISNUMBER(G14),G14&gt;0,G14&lt;45/1440),"Refrigerio menor a 45 min","")))</f>
      </c>
      <c r="K14" s="25"/>
      <c r="L14" s="25"/>
    </row>
    <row r="15" ht="20" customHeight="1" spans="1:12" x14ac:dyDescent="0.25">
      <c r="A15" s="20">
        <f>IF($N$4+6&lt;$N$5,$N$4+6,"")</f>
      </c>
      <c r="B15" s="21">
        <f>IF(A15="","",INDEX(Listas!$A$2:$A$8,WEEKDAY(A15))&amp;IF(COUNTIF(Feriados!$A$6:$A$49,A15)&gt;0," · feriado",""))</f>
      </c>
      <c r="C15" s="22"/>
      <c r="D15" s="22"/>
      <c r="E15" s="22"/>
      <c r="F15" s="22"/>
      <c r="G15" s="23">
        <f>IF(AND(ISNUMBER(D15),ISNUMBER(E15)),ROUND(MOD(E15-D15,1)*1440,0)/1440,"")</f>
      </c>
      <c r="H15" s="23">
        <f>IF(AND(ISNUMBER(C15),ISNUMBER(F15)),ROUND(MOD(F15-C15,1)*1440,0)/1440-N(G15),"")</f>
      </c>
      <c r="I15" s="23">
        <f>IF(H15="","",MAX(0,ROUND((H15-$G$6/24)*1440,0)/1440))</f>
      </c>
      <c r="J15" s="24">
        <f>IF(AND(ISNUMBER(C15),NOT(ISNUMBER(F15))),"Falta la salida",IF(AND(ISNUMBER(F15),NOT(ISNUMBER(C15))),"Falta el ingreso",IF(AND(ISNUMBER(G15),G15&gt;0,G15&lt;45/1440),"Refrigerio menor a 45 min","")))</f>
      </c>
      <c r="K15" s="25"/>
      <c r="L15" s="25"/>
    </row>
    <row r="16" ht="20" customHeight="1" spans="1:12" x14ac:dyDescent="0.25">
      <c r="A16" s="20">
        <f>IF($N$4+7&lt;$N$5,$N$4+7,"")</f>
      </c>
      <c r="B16" s="21">
        <f>IF(A16="","",INDEX(Listas!$A$2:$A$8,WEEKDAY(A16))&amp;IF(COUNTIF(Feriados!$A$6:$A$49,A16)&gt;0," · feriado",""))</f>
      </c>
      <c r="C16" s="22"/>
      <c r="D16" s="22"/>
      <c r="E16" s="22"/>
      <c r="F16" s="22"/>
      <c r="G16" s="23">
        <f>IF(AND(ISNUMBER(D16),ISNUMBER(E16)),ROUND(MOD(E16-D16,1)*1440,0)/1440,"")</f>
      </c>
      <c r="H16" s="23">
        <f>IF(AND(ISNUMBER(C16),ISNUMBER(F16)),ROUND(MOD(F16-C16,1)*1440,0)/1440-N(G16),"")</f>
      </c>
      <c r="I16" s="23">
        <f>IF(H16="","",MAX(0,ROUND((H16-$G$6/24)*1440,0)/1440))</f>
      </c>
      <c r="J16" s="24">
        <f>IF(AND(ISNUMBER(C16),NOT(ISNUMBER(F16))),"Falta la salida",IF(AND(ISNUMBER(F16),NOT(ISNUMBER(C16))),"Falta el ingreso",IF(AND(ISNUMBER(G16),G16&gt;0,G16&lt;45/1440),"Refrigerio menor a 45 min","")))</f>
      </c>
      <c r="K16" s="25"/>
      <c r="L16" s="25"/>
    </row>
    <row r="17" ht="20" customHeight="1" spans="1:12" x14ac:dyDescent="0.25">
      <c r="A17" s="20">
        <f>IF($N$4+8&lt;$N$5,$N$4+8,"")</f>
      </c>
      <c r="B17" s="21">
        <f>IF(A17="","",INDEX(Listas!$A$2:$A$8,WEEKDAY(A17))&amp;IF(COUNTIF(Feriados!$A$6:$A$49,A17)&gt;0," · feriado",""))</f>
      </c>
      <c r="C17" s="22"/>
      <c r="D17" s="22"/>
      <c r="E17" s="22"/>
      <c r="F17" s="22"/>
      <c r="G17" s="23">
        <f>IF(AND(ISNUMBER(D17),ISNUMBER(E17)),ROUND(MOD(E17-D17,1)*1440,0)/1440,"")</f>
      </c>
      <c r="H17" s="23">
        <f>IF(AND(ISNUMBER(C17),ISNUMBER(F17)),ROUND(MOD(F17-C17,1)*1440,0)/1440-N(G17),"")</f>
      </c>
      <c r="I17" s="23">
        <f>IF(H17="","",MAX(0,ROUND((H17-$G$6/24)*1440,0)/1440))</f>
      </c>
      <c r="J17" s="24">
        <f>IF(AND(ISNUMBER(C17),NOT(ISNUMBER(F17))),"Falta la salida",IF(AND(ISNUMBER(F17),NOT(ISNUMBER(C17))),"Falta el ingreso",IF(AND(ISNUMBER(G17),G17&gt;0,G17&lt;45/1440),"Refrigerio menor a 45 min","")))</f>
      </c>
      <c r="K17" s="25"/>
      <c r="L17" s="25"/>
    </row>
    <row r="18" ht="20" customHeight="1" spans="1:12" x14ac:dyDescent="0.25">
      <c r="A18" s="20">
        <f>IF($N$4+9&lt;$N$5,$N$4+9,"")</f>
      </c>
      <c r="B18" s="21">
        <f>IF(A18="","",INDEX(Listas!$A$2:$A$8,WEEKDAY(A18))&amp;IF(COUNTIF(Feriados!$A$6:$A$49,A18)&gt;0," · feriado",""))</f>
      </c>
      <c r="C18" s="22"/>
      <c r="D18" s="22"/>
      <c r="E18" s="22"/>
      <c r="F18" s="22"/>
      <c r="G18" s="23">
        <f>IF(AND(ISNUMBER(D18),ISNUMBER(E18)),ROUND(MOD(E18-D18,1)*1440,0)/1440,"")</f>
      </c>
      <c r="H18" s="23">
        <f>IF(AND(ISNUMBER(C18),ISNUMBER(F18)),ROUND(MOD(F18-C18,1)*1440,0)/1440-N(G18),"")</f>
      </c>
      <c r="I18" s="23">
        <f>IF(H18="","",MAX(0,ROUND((H18-$G$6/24)*1440,0)/1440))</f>
      </c>
      <c r="J18" s="24">
        <f>IF(AND(ISNUMBER(C18),NOT(ISNUMBER(F18))),"Falta la salida",IF(AND(ISNUMBER(F18),NOT(ISNUMBER(C18))),"Falta el ingreso",IF(AND(ISNUMBER(G18),G18&gt;0,G18&lt;45/1440),"Refrigerio menor a 45 min","")))</f>
      </c>
      <c r="K18" s="25"/>
      <c r="L18" s="25"/>
    </row>
    <row r="19" ht="20" customHeight="1" spans="1:12" x14ac:dyDescent="0.25">
      <c r="A19" s="20">
        <f>IF($N$4+10&lt;$N$5,$N$4+10,"")</f>
      </c>
      <c r="B19" s="21">
        <f>IF(A19="","",INDEX(Listas!$A$2:$A$8,WEEKDAY(A19))&amp;IF(COUNTIF(Feriados!$A$6:$A$49,A19)&gt;0," · feriado",""))</f>
      </c>
      <c r="C19" s="22"/>
      <c r="D19" s="22"/>
      <c r="E19" s="22"/>
      <c r="F19" s="22"/>
      <c r="G19" s="23">
        <f>IF(AND(ISNUMBER(D19),ISNUMBER(E19)),ROUND(MOD(E19-D19,1)*1440,0)/1440,"")</f>
      </c>
      <c r="H19" s="23">
        <f>IF(AND(ISNUMBER(C19),ISNUMBER(F19)),ROUND(MOD(F19-C19,1)*1440,0)/1440-N(G19),"")</f>
      </c>
      <c r="I19" s="23">
        <f>IF(H19="","",MAX(0,ROUND((H19-$G$6/24)*1440,0)/1440))</f>
      </c>
      <c r="J19" s="24">
        <f>IF(AND(ISNUMBER(C19),NOT(ISNUMBER(F19))),"Falta la salida",IF(AND(ISNUMBER(F19),NOT(ISNUMBER(C19))),"Falta el ingreso",IF(AND(ISNUMBER(G19),G19&gt;0,G19&lt;45/1440),"Refrigerio menor a 45 min","")))</f>
      </c>
      <c r="K19" s="25"/>
      <c r="L19" s="25"/>
    </row>
    <row r="20" ht="20" customHeight="1" spans="1:12" x14ac:dyDescent="0.25">
      <c r="A20" s="20">
        <f>IF($N$4+11&lt;$N$5,$N$4+11,"")</f>
      </c>
      <c r="B20" s="21">
        <f>IF(A20="","",INDEX(Listas!$A$2:$A$8,WEEKDAY(A20))&amp;IF(COUNTIF(Feriados!$A$6:$A$49,A20)&gt;0," · feriado",""))</f>
      </c>
      <c r="C20" s="22"/>
      <c r="D20" s="22"/>
      <c r="E20" s="22"/>
      <c r="F20" s="22"/>
      <c r="G20" s="23">
        <f>IF(AND(ISNUMBER(D20),ISNUMBER(E20)),ROUND(MOD(E20-D20,1)*1440,0)/1440,"")</f>
      </c>
      <c r="H20" s="23">
        <f>IF(AND(ISNUMBER(C20),ISNUMBER(F20)),ROUND(MOD(F20-C20,1)*1440,0)/1440-N(G20),"")</f>
      </c>
      <c r="I20" s="23">
        <f>IF(H20="","",MAX(0,ROUND((H20-$G$6/24)*1440,0)/1440))</f>
      </c>
      <c r="J20" s="24">
        <f>IF(AND(ISNUMBER(C20),NOT(ISNUMBER(F20))),"Falta la salida",IF(AND(ISNUMBER(F20),NOT(ISNUMBER(C20))),"Falta el ingreso",IF(AND(ISNUMBER(G20),G20&gt;0,G20&lt;45/1440),"Refrigerio menor a 45 min","")))</f>
      </c>
      <c r="K20" s="25"/>
      <c r="L20" s="25"/>
    </row>
    <row r="21" ht="20" customHeight="1" spans="1:12" x14ac:dyDescent="0.25">
      <c r="A21" s="20">
        <f>IF($N$4+12&lt;$N$5,$N$4+12,"")</f>
      </c>
      <c r="B21" s="21">
        <f>IF(A21="","",INDEX(Listas!$A$2:$A$8,WEEKDAY(A21))&amp;IF(COUNTIF(Feriados!$A$6:$A$49,A21)&gt;0," · feriado",""))</f>
      </c>
      <c r="C21" s="22"/>
      <c r="D21" s="22"/>
      <c r="E21" s="22"/>
      <c r="F21" s="22"/>
      <c r="G21" s="23">
        <f>IF(AND(ISNUMBER(D21),ISNUMBER(E21)),ROUND(MOD(E21-D21,1)*1440,0)/1440,"")</f>
      </c>
      <c r="H21" s="23">
        <f>IF(AND(ISNUMBER(C21),ISNUMBER(F21)),ROUND(MOD(F21-C21,1)*1440,0)/1440-N(G21),"")</f>
      </c>
      <c r="I21" s="23">
        <f>IF(H21="","",MAX(0,ROUND((H21-$G$6/24)*1440,0)/1440))</f>
      </c>
      <c r="J21" s="24">
        <f>IF(AND(ISNUMBER(C21),NOT(ISNUMBER(F21))),"Falta la salida",IF(AND(ISNUMBER(F21),NOT(ISNUMBER(C21))),"Falta el ingreso",IF(AND(ISNUMBER(G21),G21&gt;0,G21&lt;45/1440),"Refrigerio menor a 45 min","")))</f>
      </c>
      <c r="K21" s="25"/>
      <c r="L21" s="25"/>
    </row>
    <row r="22" ht="20" customHeight="1" spans="1:12" x14ac:dyDescent="0.25">
      <c r="A22" s="20">
        <f>IF($N$4+13&lt;$N$5,$N$4+13,"")</f>
      </c>
      <c r="B22" s="21">
        <f>IF(A22="","",INDEX(Listas!$A$2:$A$8,WEEKDAY(A22))&amp;IF(COUNTIF(Feriados!$A$6:$A$49,A22)&gt;0," · feriado",""))</f>
      </c>
      <c r="C22" s="22"/>
      <c r="D22" s="22"/>
      <c r="E22" s="22"/>
      <c r="F22" s="22"/>
      <c r="G22" s="23">
        <f>IF(AND(ISNUMBER(D22),ISNUMBER(E22)),ROUND(MOD(E22-D22,1)*1440,0)/1440,"")</f>
      </c>
      <c r="H22" s="23">
        <f>IF(AND(ISNUMBER(C22),ISNUMBER(F22)),ROUND(MOD(F22-C22,1)*1440,0)/1440-N(G22),"")</f>
      </c>
      <c r="I22" s="23">
        <f>IF(H22="","",MAX(0,ROUND((H22-$G$6/24)*1440,0)/1440))</f>
      </c>
      <c r="J22" s="24">
        <f>IF(AND(ISNUMBER(C22),NOT(ISNUMBER(F22))),"Falta la salida",IF(AND(ISNUMBER(F22),NOT(ISNUMBER(C22))),"Falta el ingreso",IF(AND(ISNUMBER(G22),G22&gt;0,G22&lt;45/1440),"Refrigerio menor a 45 min","")))</f>
      </c>
      <c r="K22" s="25"/>
      <c r="L22" s="25"/>
    </row>
    <row r="23" ht="20" customHeight="1" spans="1:12" x14ac:dyDescent="0.25">
      <c r="A23" s="20">
        <f>IF($N$4+14&lt;$N$5,$N$4+14,"")</f>
      </c>
      <c r="B23" s="21">
        <f>IF(A23="","",INDEX(Listas!$A$2:$A$8,WEEKDAY(A23))&amp;IF(COUNTIF(Feriados!$A$6:$A$49,A23)&gt;0," · feriado",""))</f>
      </c>
      <c r="C23" s="22"/>
      <c r="D23" s="22"/>
      <c r="E23" s="22"/>
      <c r="F23" s="22"/>
      <c r="G23" s="23">
        <f>IF(AND(ISNUMBER(D23),ISNUMBER(E23)),ROUND(MOD(E23-D23,1)*1440,0)/1440,"")</f>
      </c>
      <c r="H23" s="23">
        <f>IF(AND(ISNUMBER(C23),ISNUMBER(F23)),ROUND(MOD(F23-C23,1)*1440,0)/1440-N(G23),"")</f>
      </c>
      <c r="I23" s="23">
        <f>IF(H23="","",MAX(0,ROUND((H23-$G$6/24)*1440,0)/1440))</f>
      </c>
      <c r="J23" s="24">
        <f>IF(AND(ISNUMBER(C23),NOT(ISNUMBER(F23))),"Falta la salida",IF(AND(ISNUMBER(F23),NOT(ISNUMBER(C23))),"Falta el ingreso",IF(AND(ISNUMBER(G23),G23&gt;0,G23&lt;45/1440),"Refrigerio menor a 45 min","")))</f>
      </c>
      <c r="K23" s="25"/>
      <c r="L23" s="25"/>
    </row>
    <row r="24" ht="20" customHeight="1" spans="1:12" x14ac:dyDescent="0.25">
      <c r="A24" s="20">
        <f>IF($N$4+15&lt;$N$5,$N$4+15,"")</f>
      </c>
      <c r="B24" s="21">
        <f>IF(A24="","",INDEX(Listas!$A$2:$A$8,WEEKDAY(A24))&amp;IF(COUNTIF(Feriados!$A$6:$A$49,A24)&gt;0," · feriado",""))</f>
      </c>
      <c r="C24" s="22"/>
      <c r="D24" s="22"/>
      <c r="E24" s="22"/>
      <c r="F24" s="22"/>
      <c r="G24" s="23">
        <f>IF(AND(ISNUMBER(D24),ISNUMBER(E24)),ROUND(MOD(E24-D24,1)*1440,0)/1440,"")</f>
      </c>
      <c r="H24" s="23">
        <f>IF(AND(ISNUMBER(C24),ISNUMBER(F24)),ROUND(MOD(F24-C24,1)*1440,0)/1440-N(G24),"")</f>
      </c>
      <c r="I24" s="23">
        <f>IF(H24="","",MAX(0,ROUND((H24-$G$6/24)*1440,0)/1440))</f>
      </c>
      <c r="J24" s="24">
        <f>IF(AND(ISNUMBER(C24),NOT(ISNUMBER(F24))),"Falta la salida",IF(AND(ISNUMBER(F24),NOT(ISNUMBER(C24))),"Falta el ingreso",IF(AND(ISNUMBER(G24),G24&gt;0,G24&lt;45/1440),"Refrigerio menor a 45 min","")))</f>
      </c>
      <c r="K24" s="25"/>
      <c r="L24" s="25"/>
    </row>
    <row r="25" ht="20" customHeight="1" spans="1:12" x14ac:dyDescent="0.25">
      <c r="A25" s="20">
        <f>IF($N$4+16&lt;$N$5,$N$4+16,"")</f>
      </c>
      <c r="B25" s="21">
        <f>IF(A25="","",INDEX(Listas!$A$2:$A$8,WEEKDAY(A25))&amp;IF(COUNTIF(Feriados!$A$6:$A$49,A25)&gt;0," · feriado",""))</f>
      </c>
      <c r="C25" s="22"/>
      <c r="D25" s="22"/>
      <c r="E25" s="22"/>
      <c r="F25" s="22"/>
      <c r="G25" s="23">
        <f>IF(AND(ISNUMBER(D25),ISNUMBER(E25)),ROUND(MOD(E25-D25,1)*1440,0)/1440,"")</f>
      </c>
      <c r="H25" s="23">
        <f>IF(AND(ISNUMBER(C25),ISNUMBER(F25)),ROUND(MOD(F25-C25,1)*1440,0)/1440-N(G25),"")</f>
      </c>
      <c r="I25" s="23">
        <f>IF(H25="","",MAX(0,ROUND((H25-$G$6/24)*1440,0)/1440))</f>
      </c>
      <c r="J25" s="24">
        <f>IF(AND(ISNUMBER(C25),NOT(ISNUMBER(F25))),"Falta la salida",IF(AND(ISNUMBER(F25),NOT(ISNUMBER(C25))),"Falta el ingreso",IF(AND(ISNUMBER(G25),G25&gt;0,G25&lt;45/1440),"Refrigerio menor a 45 min","")))</f>
      </c>
      <c r="K25" s="25"/>
      <c r="L25" s="25"/>
    </row>
    <row r="26" ht="20" customHeight="1" spans="1:12" x14ac:dyDescent="0.25">
      <c r="A26" s="20">
        <f>IF($N$4+17&lt;$N$5,$N$4+17,"")</f>
      </c>
      <c r="B26" s="21">
        <f>IF(A26="","",INDEX(Listas!$A$2:$A$8,WEEKDAY(A26))&amp;IF(COUNTIF(Feriados!$A$6:$A$49,A26)&gt;0," · feriado",""))</f>
      </c>
      <c r="C26" s="22"/>
      <c r="D26" s="22"/>
      <c r="E26" s="22"/>
      <c r="F26" s="22"/>
      <c r="G26" s="23">
        <f>IF(AND(ISNUMBER(D26),ISNUMBER(E26)),ROUND(MOD(E26-D26,1)*1440,0)/1440,"")</f>
      </c>
      <c r="H26" s="23">
        <f>IF(AND(ISNUMBER(C26),ISNUMBER(F26)),ROUND(MOD(F26-C26,1)*1440,0)/1440-N(G26),"")</f>
      </c>
      <c r="I26" s="23">
        <f>IF(H26="","",MAX(0,ROUND((H26-$G$6/24)*1440,0)/1440))</f>
      </c>
      <c r="J26" s="24">
        <f>IF(AND(ISNUMBER(C26),NOT(ISNUMBER(F26))),"Falta la salida",IF(AND(ISNUMBER(F26),NOT(ISNUMBER(C26))),"Falta el ingreso",IF(AND(ISNUMBER(G26),G26&gt;0,G26&lt;45/1440),"Refrigerio menor a 45 min","")))</f>
      </c>
      <c r="K26" s="25"/>
      <c r="L26" s="25"/>
    </row>
    <row r="27" ht="20" customHeight="1" spans="1:12" x14ac:dyDescent="0.25">
      <c r="A27" s="20">
        <f>IF($N$4+18&lt;$N$5,$N$4+18,"")</f>
      </c>
      <c r="B27" s="21">
        <f>IF(A27="","",INDEX(Listas!$A$2:$A$8,WEEKDAY(A27))&amp;IF(COUNTIF(Feriados!$A$6:$A$49,A27)&gt;0," · feriado",""))</f>
      </c>
      <c r="C27" s="22"/>
      <c r="D27" s="22"/>
      <c r="E27" s="22"/>
      <c r="F27" s="22"/>
      <c r="G27" s="23">
        <f>IF(AND(ISNUMBER(D27),ISNUMBER(E27)),ROUND(MOD(E27-D27,1)*1440,0)/1440,"")</f>
      </c>
      <c r="H27" s="23">
        <f>IF(AND(ISNUMBER(C27),ISNUMBER(F27)),ROUND(MOD(F27-C27,1)*1440,0)/1440-N(G27),"")</f>
      </c>
      <c r="I27" s="23">
        <f>IF(H27="","",MAX(0,ROUND((H27-$G$6/24)*1440,0)/1440))</f>
      </c>
      <c r="J27" s="24">
        <f>IF(AND(ISNUMBER(C27),NOT(ISNUMBER(F27))),"Falta la salida",IF(AND(ISNUMBER(F27),NOT(ISNUMBER(C27))),"Falta el ingreso",IF(AND(ISNUMBER(G27),G27&gt;0,G27&lt;45/1440),"Refrigerio menor a 45 min","")))</f>
      </c>
      <c r="K27" s="25"/>
      <c r="L27" s="25"/>
    </row>
    <row r="28" ht="20" customHeight="1" spans="1:12" x14ac:dyDescent="0.25">
      <c r="A28" s="20">
        <f>IF($N$4+19&lt;$N$5,$N$4+19,"")</f>
      </c>
      <c r="B28" s="21">
        <f>IF(A28="","",INDEX(Listas!$A$2:$A$8,WEEKDAY(A28))&amp;IF(COUNTIF(Feriados!$A$6:$A$49,A28)&gt;0," · feriado",""))</f>
      </c>
      <c r="C28" s="22"/>
      <c r="D28" s="22"/>
      <c r="E28" s="22"/>
      <c r="F28" s="22"/>
      <c r="G28" s="23">
        <f>IF(AND(ISNUMBER(D28),ISNUMBER(E28)),ROUND(MOD(E28-D28,1)*1440,0)/1440,"")</f>
      </c>
      <c r="H28" s="23">
        <f>IF(AND(ISNUMBER(C28),ISNUMBER(F28)),ROUND(MOD(F28-C28,1)*1440,0)/1440-N(G28),"")</f>
      </c>
      <c r="I28" s="23">
        <f>IF(H28="","",MAX(0,ROUND((H28-$G$6/24)*1440,0)/1440))</f>
      </c>
      <c r="J28" s="24">
        <f>IF(AND(ISNUMBER(C28),NOT(ISNUMBER(F28))),"Falta la salida",IF(AND(ISNUMBER(F28),NOT(ISNUMBER(C28))),"Falta el ingreso",IF(AND(ISNUMBER(G28),G28&gt;0,G28&lt;45/1440),"Refrigerio menor a 45 min","")))</f>
      </c>
      <c r="K28" s="25"/>
      <c r="L28" s="25"/>
    </row>
    <row r="29" ht="20" customHeight="1" spans="1:12" x14ac:dyDescent="0.25">
      <c r="A29" s="20">
        <f>IF($N$4+20&lt;$N$5,$N$4+20,"")</f>
      </c>
      <c r="B29" s="21">
        <f>IF(A29="","",INDEX(Listas!$A$2:$A$8,WEEKDAY(A29))&amp;IF(COUNTIF(Feriados!$A$6:$A$49,A29)&gt;0," · feriado",""))</f>
      </c>
      <c r="C29" s="22"/>
      <c r="D29" s="22"/>
      <c r="E29" s="22"/>
      <c r="F29" s="22"/>
      <c r="G29" s="23">
        <f>IF(AND(ISNUMBER(D29),ISNUMBER(E29)),ROUND(MOD(E29-D29,1)*1440,0)/1440,"")</f>
      </c>
      <c r="H29" s="23">
        <f>IF(AND(ISNUMBER(C29),ISNUMBER(F29)),ROUND(MOD(F29-C29,1)*1440,0)/1440-N(G29),"")</f>
      </c>
      <c r="I29" s="23">
        <f>IF(H29="","",MAX(0,ROUND((H29-$G$6/24)*1440,0)/1440))</f>
      </c>
      <c r="J29" s="24">
        <f>IF(AND(ISNUMBER(C29),NOT(ISNUMBER(F29))),"Falta la salida",IF(AND(ISNUMBER(F29),NOT(ISNUMBER(C29))),"Falta el ingreso",IF(AND(ISNUMBER(G29),G29&gt;0,G29&lt;45/1440),"Refrigerio menor a 45 min","")))</f>
      </c>
      <c r="K29" s="25"/>
      <c r="L29" s="25"/>
    </row>
    <row r="30" ht="20" customHeight="1" spans="1:12" x14ac:dyDescent="0.25">
      <c r="A30" s="20">
        <f>IF($N$4+21&lt;$N$5,$N$4+21,"")</f>
      </c>
      <c r="B30" s="21">
        <f>IF(A30="","",INDEX(Listas!$A$2:$A$8,WEEKDAY(A30))&amp;IF(COUNTIF(Feriados!$A$6:$A$49,A30)&gt;0," · feriado",""))</f>
      </c>
      <c r="C30" s="22"/>
      <c r="D30" s="22"/>
      <c r="E30" s="22"/>
      <c r="F30" s="22"/>
      <c r="G30" s="23">
        <f>IF(AND(ISNUMBER(D30),ISNUMBER(E30)),ROUND(MOD(E30-D30,1)*1440,0)/1440,"")</f>
      </c>
      <c r="H30" s="23">
        <f>IF(AND(ISNUMBER(C30),ISNUMBER(F30)),ROUND(MOD(F30-C30,1)*1440,0)/1440-N(G30),"")</f>
      </c>
      <c r="I30" s="23">
        <f>IF(H30="","",MAX(0,ROUND((H30-$G$6/24)*1440,0)/1440))</f>
      </c>
      <c r="J30" s="24">
        <f>IF(AND(ISNUMBER(C30),NOT(ISNUMBER(F30))),"Falta la salida",IF(AND(ISNUMBER(F30),NOT(ISNUMBER(C30))),"Falta el ingreso",IF(AND(ISNUMBER(G30),G30&gt;0,G30&lt;45/1440),"Refrigerio menor a 45 min","")))</f>
      </c>
      <c r="K30" s="25"/>
      <c r="L30" s="25"/>
    </row>
    <row r="31" ht="20" customHeight="1" spans="1:12" x14ac:dyDescent="0.25">
      <c r="A31" s="20">
        <f>IF($N$4+22&lt;$N$5,$N$4+22,"")</f>
      </c>
      <c r="B31" s="21">
        <f>IF(A31="","",INDEX(Listas!$A$2:$A$8,WEEKDAY(A31))&amp;IF(COUNTIF(Feriados!$A$6:$A$49,A31)&gt;0," · feriado",""))</f>
      </c>
      <c r="C31" s="22"/>
      <c r="D31" s="22"/>
      <c r="E31" s="22"/>
      <c r="F31" s="22"/>
      <c r="G31" s="23">
        <f>IF(AND(ISNUMBER(D31),ISNUMBER(E31)),ROUND(MOD(E31-D31,1)*1440,0)/1440,"")</f>
      </c>
      <c r="H31" s="23">
        <f>IF(AND(ISNUMBER(C31),ISNUMBER(F31)),ROUND(MOD(F31-C31,1)*1440,0)/1440-N(G31),"")</f>
      </c>
      <c r="I31" s="23">
        <f>IF(H31="","",MAX(0,ROUND((H31-$G$6/24)*1440,0)/1440))</f>
      </c>
      <c r="J31" s="24">
        <f>IF(AND(ISNUMBER(C31),NOT(ISNUMBER(F31))),"Falta la salida",IF(AND(ISNUMBER(F31),NOT(ISNUMBER(C31))),"Falta el ingreso",IF(AND(ISNUMBER(G31),G31&gt;0,G31&lt;45/1440),"Refrigerio menor a 45 min","")))</f>
      </c>
      <c r="K31" s="25"/>
      <c r="L31" s="25"/>
    </row>
    <row r="32" ht="20" customHeight="1" spans="1:12" x14ac:dyDescent="0.25">
      <c r="A32" s="20">
        <f>IF($N$4+23&lt;$N$5,$N$4+23,"")</f>
      </c>
      <c r="B32" s="21">
        <f>IF(A32="","",INDEX(Listas!$A$2:$A$8,WEEKDAY(A32))&amp;IF(COUNTIF(Feriados!$A$6:$A$49,A32)&gt;0," · feriado",""))</f>
      </c>
      <c r="C32" s="22"/>
      <c r="D32" s="22"/>
      <c r="E32" s="22"/>
      <c r="F32" s="22"/>
      <c r="G32" s="23">
        <f>IF(AND(ISNUMBER(D32),ISNUMBER(E32)),ROUND(MOD(E32-D32,1)*1440,0)/1440,"")</f>
      </c>
      <c r="H32" s="23">
        <f>IF(AND(ISNUMBER(C32),ISNUMBER(F32)),ROUND(MOD(F32-C32,1)*1440,0)/1440-N(G32),"")</f>
      </c>
      <c r="I32" s="23">
        <f>IF(H32="","",MAX(0,ROUND((H32-$G$6/24)*1440,0)/1440))</f>
      </c>
      <c r="J32" s="24">
        <f>IF(AND(ISNUMBER(C32),NOT(ISNUMBER(F32))),"Falta la salida",IF(AND(ISNUMBER(F32),NOT(ISNUMBER(C32))),"Falta el ingreso",IF(AND(ISNUMBER(G32),G32&gt;0,G32&lt;45/1440),"Refrigerio menor a 45 min","")))</f>
      </c>
      <c r="K32" s="25"/>
      <c r="L32" s="25"/>
    </row>
    <row r="33" ht="20" customHeight="1" spans="1:12" x14ac:dyDescent="0.25">
      <c r="A33" s="20">
        <f>IF($N$4+24&lt;$N$5,$N$4+24,"")</f>
      </c>
      <c r="B33" s="21">
        <f>IF(A33="","",INDEX(Listas!$A$2:$A$8,WEEKDAY(A33))&amp;IF(COUNTIF(Feriados!$A$6:$A$49,A33)&gt;0," · feriado",""))</f>
      </c>
      <c r="C33" s="22"/>
      <c r="D33" s="22"/>
      <c r="E33" s="22"/>
      <c r="F33" s="22"/>
      <c r="G33" s="23">
        <f>IF(AND(ISNUMBER(D33),ISNUMBER(E33)),ROUND(MOD(E33-D33,1)*1440,0)/1440,"")</f>
      </c>
      <c r="H33" s="23">
        <f>IF(AND(ISNUMBER(C33),ISNUMBER(F33)),ROUND(MOD(F33-C33,1)*1440,0)/1440-N(G33),"")</f>
      </c>
      <c r="I33" s="23">
        <f>IF(H33="","",MAX(0,ROUND((H33-$G$6/24)*1440,0)/1440))</f>
      </c>
      <c r="J33" s="24">
        <f>IF(AND(ISNUMBER(C33),NOT(ISNUMBER(F33))),"Falta la salida",IF(AND(ISNUMBER(F33),NOT(ISNUMBER(C33))),"Falta el ingreso",IF(AND(ISNUMBER(G33),G33&gt;0,G33&lt;45/1440),"Refrigerio menor a 45 min","")))</f>
      </c>
      <c r="K33" s="25"/>
      <c r="L33" s="25"/>
    </row>
    <row r="34" ht="20" customHeight="1" spans="1:12" x14ac:dyDescent="0.25">
      <c r="A34" s="20">
        <f>IF($N$4+25&lt;$N$5,$N$4+25,"")</f>
      </c>
      <c r="B34" s="21">
        <f>IF(A34="","",INDEX(Listas!$A$2:$A$8,WEEKDAY(A34))&amp;IF(COUNTIF(Feriados!$A$6:$A$49,A34)&gt;0," · feriado",""))</f>
      </c>
      <c r="C34" s="22"/>
      <c r="D34" s="22"/>
      <c r="E34" s="22"/>
      <c r="F34" s="22"/>
      <c r="G34" s="23">
        <f>IF(AND(ISNUMBER(D34),ISNUMBER(E34)),ROUND(MOD(E34-D34,1)*1440,0)/1440,"")</f>
      </c>
      <c r="H34" s="23">
        <f>IF(AND(ISNUMBER(C34),ISNUMBER(F34)),ROUND(MOD(F34-C34,1)*1440,0)/1440-N(G34),"")</f>
      </c>
      <c r="I34" s="23">
        <f>IF(H34="","",MAX(0,ROUND((H34-$G$6/24)*1440,0)/1440))</f>
      </c>
      <c r="J34" s="24">
        <f>IF(AND(ISNUMBER(C34),NOT(ISNUMBER(F34))),"Falta la salida",IF(AND(ISNUMBER(F34),NOT(ISNUMBER(C34))),"Falta el ingreso",IF(AND(ISNUMBER(G34),G34&gt;0,G34&lt;45/1440),"Refrigerio menor a 45 min","")))</f>
      </c>
      <c r="K34" s="25"/>
      <c r="L34" s="25"/>
    </row>
    <row r="35" ht="20" customHeight="1" spans="1:12" x14ac:dyDescent="0.25">
      <c r="A35" s="20">
        <f>IF($N$4+26&lt;$N$5,$N$4+26,"")</f>
      </c>
      <c r="B35" s="21">
        <f>IF(A35="","",INDEX(Listas!$A$2:$A$8,WEEKDAY(A35))&amp;IF(COUNTIF(Feriados!$A$6:$A$49,A35)&gt;0," · feriado",""))</f>
      </c>
      <c r="C35" s="22"/>
      <c r="D35" s="22"/>
      <c r="E35" s="22"/>
      <c r="F35" s="22"/>
      <c r="G35" s="23">
        <f>IF(AND(ISNUMBER(D35),ISNUMBER(E35)),ROUND(MOD(E35-D35,1)*1440,0)/1440,"")</f>
      </c>
      <c r="H35" s="23">
        <f>IF(AND(ISNUMBER(C35),ISNUMBER(F35)),ROUND(MOD(F35-C35,1)*1440,0)/1440-N(G35),"")</f>
      </c>
      <c r="I35" s="23">
        <f>IF(H35="","",MAX(0,ROUND((H35-$G$6/24)*1440,0)/1440))</f>
      </c>
      <c r="J35" s="24">
        <f>IF(AND(ISNUMBER(C35),NOT(ISNUMBER(F35))),"Falta la salida",IF(AND(ISNUMBER(F35),NOT(ISNUMBER(C35))),"Falta el ingreso",IF(AND(ISNUMBER(G35),G35&gt;0,G35&lt;45/1440),"Refrigerio menor a 45 min","")))</f>
      </c>
      <c r="K35" s="25"/>
      <c r="L35" s="25"/>
    </row>
    <row r="36" ht="20" customHeight="1" spans="1:12" x14ac:dyDescent="0.25">
      <c r="A36" s="20">
        <f>IF($N$4+27&lt;$N$5,$N$4+27,"")</f>
      </c>
      <c r="B36" s="21">
        <f>IF(A36="","",INDEX(Listas!$A$2:$A$8,WEEKDAY(A36))&amp;IF(COUNTIF(Feriados!$A$6:$A$49,A36)&gt;0," · feriado",""))</f>
      </c>
      <c r="C36" s="22"/>
      <c r="D36" s="22"/>
      <c r="E36" s="22"/>
      <c r="F36" s="22"/>
      <c r="G36" s="23">
        <f>IF(AND(ISNUMBER(D36),ISNUMBER(E36)),ROUND(MOD(E36-D36,1)*1440,0)/1440,"")</f>
      </c>
      <c r="H36" s="23">
        <f>IF(AND(ISNUMBER(C36),ISNUMBER(F36)),ROUND(MOD(F36-C36,1)*1440,0)/1440-N(G36),"")</f>
      </c>
      <c r="I36" s="23">
        <f>IF(H36="","",MAX(0,ROUND((H36-$G$6/24)*1440,0)/1440))</f>
      </c>
      <c r="J36" s="24">
        <f>IF(AND(ISNUMBER(C36),NOT(ISNUMBER(F36))),"Falta la salida",IF(AND(ISNUMBER(F36),NOT(ISNUMBER(C36))),"Falta el ingreso",IF(AND(ISNUMBER(G36),G36&gt;0,G36&lt;45/1440),"Refrigerio menor a 45 min","")))</f>
      </c>
      <c r="K36" s="25"/>
      <c r="L36" s="25"/>
    </row>
    <row r="37" ht="20" customHeight="1" spans="1:12" x14ac:dyDescent="0.25">
      <c r="A37" s="20">
        <f>IF($N$4+28&lt;$N$5,$N$4+28,"")</f>
      </c>
      <c r="B37" s="21">
        <f>IF(A37="","",INDEX(Listas!$A$2:$A$8,WEEKDAY(A37))&amp;IF(COUNTIF(Feriados!$A$6:$A$49,A37)&gt;0," · feriado",""))</f>
      </c>
      <c r="C37" s="22"/>
      <c r="D37" s="22"/>
      <c r="E37" s="22"/>
      <c r="F37" s="22"/>
      <c r="G37" s="23">
        <f>IF(AND(ISNUMBER(D37),ISNUMBER(E37)),ROUND(MOD(E37-D37,1)*1440,0)/1440,"")</f>
      </c>
      <c r="H37" s="23">
        <f>IF(AND(ISNUMBER(C37),ISNUMBER(F37)),ROUND(MOD(F37-C37,1)*1440,0)/1440-N(G37),"")</f>
      </c>
      <c r="I37" s="23">
        <f>IF(H37="","",MAX(0,ROUND((H37-$G$6/24)*1440,0)/1440))</f>
      </c>
      <c r="J37" s="24">
        <f>IF(AND(ISNUMBER(C37),NOT(ISNUMBER(F37))),"Falta la salida",IF(AND(ISNUMBER(F37),NOT(ISNUMBER(C37))),"Falta el ingreso",IF(AND(ISNUMBER(G37),G37&gt;0,G37&lt;45/1440),"Refrigerio menor a 45 min","")))</f>
      </c>
      <c r="K37" s="25"/>
      <c r="L37" s="25"/>
    </row>
    <row r="38" ht="20" customHeight="1" spans="1:12" x14ac:dyDescent="0.25">
      <c r="A38" s="20">
        <f>IF($N$4+29&lt;$N$5,$N$4+29,"")</f>
      </c>
      <c r="B38" s="21">
        <f>IF(A38="","",INDEX(Listas!$A$2:$A$8,WEEKDAY(A38))&amp;IF(COUNTIF(Feriados!$A$6:$A$49,A38)&gt;0," · feriado",""))</f>
      </c>
      <c r="C38" s="22"/>
      <c r="D38" s="22"/>
      <c r="E38" s="22"/>
      <c r="F38" s="22"/>
      <c r="G38" s="23">
        <f>IF(AND(ISNUMBER(D38),ISNUMBER(E38)),ROUND(MOD(E38-D38,1)*1440,0)/1440,"")</f>
      </c>
      <c r="H38" s="23">
        <f>IF(AND(ISNUMBER(C38),ISNUMBER(F38)),ROUND(MOD(F38-C38,1)*1440,0)/1440-N(G38),"")</f>
      </c>
      <c r="I38" s="23">
        <f>IF(H38="","",MAX(0,ROUND((H38-$G$6/24)*1440,0)/1440))</f>
      </c>
      <c r="J38" s="24">
        <f>IF(AND(ISNUMBER(C38),NOT(ISNUMBER(F38))),"Falta la salida",IF(AND(ISNUMBER(F38),NOT(ISNUMBER(C38))),"Falta el ingreso",IF(AND(ISNUMBER(G38),G38&gt;0,G38&lt;45/1440),"Refrigerio menor a 45 min","")))</f>
      </c>
      <c r="K38" s="25"/>
      <c r="L38" s="25"/>
    </row>
    <row r="39" ht="20" customHeight="1" spans="1:12" x14ac:dyDescent="0.25">
      <c r="A39" s="20">
        <f>IF($N$4+30&lt;$N$5,$N$4+30,"")</f>
      </c>
      <c r="B39" s="21">
        <f>IF(A39="","",INDEX(Listas!$A$2:$A$8,WEEKDAY(A39))&amp;IF(COUNTIF(Feriados!$A$6:$A$49,A39)&gt;0," · feriado",""))</f>
      </c>
      <c r="C39" s="22"/>
      <c r="D39" s="22"/>
      <c r="E39" s="22"/>
      <c r="F39" s="22"/>
      <c r="G39" s="23">
        <f>IF(AND(ISNUMBER(D39),ISNUMBER(E39)),ROUND(MOD(E39-D39,1)*1440,0)/1440,"")</f>
      </c>
      <c r="H39" s="23">
        <f>IF(AND(ISNUMBER(C39),ISNUMBER(F39)),ROUND(MOD(F39-C39,1)*1440,0)/1440-N(G39),"")</f>
      </c>
      <c r="I39" s="23">
        <f>IF(H39="","",MAX(0,ROUND((H39-$G$6/24)*1440,0)/1440))</f>
      </c>
      <c r="J39" s="24">
        <f>IF(AND(ISNUMBER(C39),NOT(ISNUMBER(F39))),"Falta la salida",IF(AND(ISNUMBER(F39),NOT(ISNUMBER(C39))),"Falta el ingreso",IF(AND(ISNUMBER(G39),G39&gt;0,G39&lt;45/1440),"Refrigerio menor a 45 min","")))</f>
      </c>
      <c r="K39" s="25"/>
      <c r="L39" s="25"/>
    </row>
    <row r="40" spans="7:9" x14ac:dyDescent="0.25">
      <c r="G40" s="16" t="s">
        <v>50</v>
      </c>
      <c r="H40" s="26">
        <f>SUM(H9:H39)</f>
      </c>
      <c r="I40" s="26">
        <f>SUM(I9:I39)</f>
      </c>
    </row>
    <row r="42" spans="1:1" x14ac:dyDescent="0.25">
      <c r="A42" s="6" t="s">
        <v>17</v>
      </c>
    </row>
    <row r="43" spans="1:1" x14ac:dyDescent="0.25">
      <c r="A43" s="7" t="s">
        <v>18</v>
      </c>
    </row>
    <row r="44" spans="1:1" x14ac:dyDescent="0.25">
      <c r="A44" s="8" t="s">
        <v>19</v>
      </c>
    </row>
    <row r="45" spans="1:1" x14ac:dyDescent="0.25">
      <c r="A45" s="7" t="s">
        <v>20</v>
      </c>
    </row>
  </sheetData>
  <mergeCells count="7">
    <mergeCell ref="A1:L1"/>
    <mergeCell ref="A2:L2"/>
    <mergeCell ref="A3:L3"/>
    <mergeCell ref="B4:E4"/>
    <mergeCell ref="G4:I4"/>
    <mergeCell ref="B5:E5"/>
    <mergeCell ref="G5:I5"/>
  </mergeCells>
  <conditionalFormatting sqref="A9:B39">
    <cfRule type="expression" dxfId="10" priority="1">
      <formula>RIGHT($B9,7)="feriado"</formula>
    </cfRule>
  </conditionalFormatting>
  <hyperlinks>
    <hyperlink ref="A44" r:id="rId1"/>
  </hyperlinks>
  <pageSetup paperSize="9" orientation="landscape" fitToWidth="1" fitToHeight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1" customWidth="1"/>
    <col min="4" max="5" width="13" customWidth="1"/>
    <col min="6" max="6" width="11" customWidth="1"/>
    <col min="7" max="8" width="12" customWidth="1"/>
    <col min="9" max="9" width="13" customWidth="1"/>
    <col min="10" max="10" width="24" customWidth="1"/>
    <col min="11" max="11" width="30" customWidth="1"/>
    <col min="12" max="12" width="22" customWidth="1"/>
    <col min="13" max="13" width="4" customWidth="1"/>
    <col min="14" max="14" width="12" hidden="1" customWidth="1"/>
  </cols>
  <sheetData>
    <row r="1" ht="3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 spans="1:12" x14ac:dyDescent="0.25">
      <c r="A2" s="2" t="s">
        <v>71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2" customHeight="1" spans="1:12" x14ac:dyDescent="0.25">
      <c r="A3" s="9" t="s">
        <v>31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x14ac:dyDescent="0.25">
      <c r="A4" s="10" t="s">
        <v>32</v>
      </c>
      <c r="B4" s="14">
        <f>IF(Datos!$B$5="","",Datos!$B$5)</f>
      </c>
      <c r="C4" s="14"/>
      <c r="D4" s="14"/>
      <c r="E4" s="14"/>
      <c r="F4" s="10" t="s">
        <v>33</v>
      </c>
      <c r="G4" s="14">
        <f>IF(Datos!$B$6="","",Datos!$B$6)</f>
      </c>
      <c r="H4" s="14"/>
      <c r="I4" s="14"/>
      <c r="N4" s="15">
        <f>INDEX(Listas!$C$2:$C$62,($D$6-2026)*12+12)</f>
      </c>
    </row>
    <row r="5" spans="1:14" x14ac:dyDescent="0.25">
      <c r="A5" s="10" t="s">
        <v>34</v>
      </c>
      <c r="B5" s="14">
        <f>IF(Datos!$B$7="","",Datos!$B$7)</f>
      </c>
      <c r="C5" s="14"/>
      <c r="D5" s="14"/>
      <c r="E5" s="14"/>
      <c r="F5" s="10" t="s">
        <v>35</v>
      </c>
      <c r="G5" s="14">
        <f>IF(Datos!$B$8="","",Datos!$B$8)</f>
      </c>
      <c r="H5" s="14"/>
      <c r="I5" s="14"/>
      <c r="N5" s="15">
        <f>INDEX(Listas!$C$2:$C$62,($D$6-2026)*12+13)</f>
      </c>
    </row>
    <row r="6" spans="1:7" x14ac:dyDescent="0.25">
      <c r="A6" s="10" t="s">
        <v>36</v>
      </c>
      <c r="B6" s="16" t="s">
        <v>72</v>
      </c>
      <c r="C6" s="10" t="s">
        <v>38</v>
      </c>
      <c r="D6" s="17">
        <f>Datos!$B$10</f>
      </c>
      <c r="F6" s="10" t="s">
        <v>39</v>
      </c>
      <c r="G6" s="18">
        <f>Datos!$B$9</f>
      </c>
    </row>
    <row r="8" ht="42" customHeight="1" spans="1:12" x14ac:dyDescent="0.25">
      <c r="A8" s="19" t="s">
        <v>40</v>
      </c>
      <c r="B8" s="19" t="s">
        <v>41</v>
      </c>
      <c r="C8" s="19" t="s">
        <v>42</v>
      </c>
      <c r="D8" s="19" t="s">
        <v>43</v>
      </c>
      <c r="E8" s="19" t="s">
        <v>44</v>
      </c>
      <c r="F8" s="19" t="s">
        <v>45</v>
      </c>
      <c r="G8" s="19" t="s">
        <v>9</v>
      </c>
      <c r="H8" s="19" t="s">
        <v>46</v>
      </c>
      <c r="I8" s="19" t="s">
        <v>11</v>
      </c>
      <c r="J8" s="19" t="s">
        <v>47</v>
      </c>
      <c r="K8" s="19" t="s">
        <v>48</v>
      </c>
      <c r="L8" s="19" t="s">
        <v>49</v>
      </c>
    </row>
    <row r="9" ht="20" customHeight="1" spans="1:12" x14ac:dyDescent="0.25">
      <c r="A9" s="20">
        <f>IF($N$4+0&lt;$N$5,$N$4+0,"")</f>
      </c>
      <c r="B9" s="21">
        <f>IF(A9="","",INDEX(Listas!$A$2:$A$8,WEEKDAY(A9))&amp;IF(COUNTIF(Feriados!$A$6:$A$49,A9)&gt;0," · feriado",""))</f>
      </c>
      <c r="C9" s="22"/>
      <c r="D9" s="22"/>
      <c r="E9" s="22"/>
      <c r="F9" s="22"/>
      <c r="G9" s="23">
        <f>IF(AND(ISNUMBER(D9),ISNUMBER(E9)),ROUND(MOD(E9-D9,1)*1440,0)/1440,"")</f>
      </c>
      <c r="H9" s="23">
        <f>IF(AND(ISNUMBER(C9),ISNUMBER(F9)),ROUND(MOD(F9-C9,1)*1440,0)/1440-N(G9),"")</f>
      </c>
      <c r="I9" s="23">
        <f>IF(H9="","",MAX(0,ROUND((H9-$G$6/24)*1440,0)/1440))</f>
      </c>
      <c r="J9" s="24">
        <f>IF(AND(ISNUMBER(C9),NOT(ISNUMBER(F9))),"Falta la salida",IF(AND(ISNUMBER(F9),NOT(ISNUMBER(C9))),"Falta el ingreso",IF(AND(ISNUMBER(G9),G9&gt;0,G9&lt;45/1440),"Refrigerio menor a 45 min","")))</f>
      </c>
      <c r="K9" s="25"/>
      <c r="L9" s="25"/>
    </row>
    <row r="10" ht="20" customHeight="1" spans="1:12" x14ac:dyDescent="0.25">
      <c r="A10" s="20">
        <f>IF($N$4+1&lt;$N$5,$N$4+1,"")</f>
      </c>
      <c r="B10" s="21">
        <f>IF(A10="","",INDEX(Listas!$A$2:$A$8,WEEKDAY(A10))&amp;IF(COUNTIF(Feriados!$A$6:$A$49,A10)&gt;0," · feriado",""))</f>
      </c>
      <c r="C10" s="22"/>
      <c r="D10" s="22"/>
      <c r="E10" s="22"/>
      <c r="F10" s="22"/>
      <c r="G10" s="23">
        <f>IF(AND(ISNUMBER(D10),ISNUMBER(E10)),ROUND(MOD(E10-D10,1)*1440,0)/1440,"")</f>
      </c>
      <c r="H10" s="23">
        <f>IF(AND(ISNUMBER(C10),ISNUMBER(F10)),ROUND(MOD(F10-C10,1)*1440,0)/1440-N(G10),"")</f>
      </c>
      <c r="I10" s="23">
        <f>IF(H10="","",MAX(0,ROUND((H10-$G$6/24)*1440,0)/1440))</f>
      </c>
      <c r="J10" s="24">
        <f>IF(AND(ISNUMBER(C10),NOT(ISNUMBER(F10))),"Falta la salida",IF(AND(ISNUMBER(F10),NOT(ISNUMBER(C10))),"Falta el ingreso",IF(AND(ISNUMBER(G10),G10&gt;0,G10&lt;45/1440),"Refrigerio menor a 45 min","")))</f>
      </c>
      <c r="K10" s="25"/>
      <c r="L10" s="25"/>
    </row>
    <row r="11" ht="20" customHeight="1" spans="1:12" x14ac:dyDescent="0.25">
      <c r="A11" s="20">
        <f>IF($N$4+2&lt;$N$5,$N$4+2,"")</f>
      </c>
      <c r="B11" s="21">
        <f>IF(A11="","",INDEX(Listas!$A$2:$A$8,WEEKDAY(A11))&amp;IF(COUNTIF(Feriados!$A$6:$A$49,A11)&gt;0," · feriado",""))</f>
      </c>
      <c r="C11" s="22"/>
      <c r="D11" s="22"/>
      <c r="E11" s="22"/>
      <c r="F11" s="22"/>
      <c r="G11" s="23">
        <f>IF(AND(ISNUMBER(D11),ISNUMBER(E11)),ROUND(MOD(E11-D11,1)*1440,0)/1440,"")</f>
      </c>
      <c r="H11" s="23">
        <f>IF(AND(ISNUMBER(C11),ISNUMBER(F11)),ROUND(MOD(F11-C11,1)*1440,0)/1440-N(G11),"")</f>
      </c>
      <c r="I11" s="23">
        <f>IF(H11="","",MAX(0,ROUND((H11-$G$6/24)*1440,0)/1440))</f>
      </c>
      <c r="J11" s="24">
        <f>IF(AND(ISNUMBER(C11),NOT(ISNUMBER(F11))),"Falta la salida",IF(AND(ISNUMBER(F11),NOT(ISNUMBER(C11))),"Falta el ingreso",IF(AND(ISNUMBER(G11),G11&gt;0,G11&lt;45/1440),"Refrigerio menor a 45 min","")))</f>
      </c>
      <c r="K11" s="25"/>
      <c r="L11" s="25"/>
    </row>
    <row r="12" ht="20" customHeight="1" spans="1:12" x14ac:dyDescent="0.25">
      <c r="A12" s="20">
        <f>IF($N$4+3&lt;$N$5,$N$4+3,"")</f>
      </c>
      <c r="B12" s="21">
        <f>IF(A12="","",INDEX(Listas!$A$2:$A$8,WEEKDAY(A12))&amp;IF(COUNTIF(Feriados!$A$6:$A$49,A12)&gt;0," · feriado",""))</f>
      </c>
      <c r="C12" s="22"/>
      <c r="D12" s="22"/>
      <c r="E12" s="22"/>
      <c r="F12" s="22"/>
      <c r="G12" s="23">
        <f>IF(AND(ISNUMBER(D12),ISNUMBER(E12)),ROUND(MOD(E12-D12,1)*1440,0)/1440,"")</f>
      </c>
      <c r="H12" s="23">
        <f>IF(AND(ISNUMBER(C12),ISNUMBER(F12)),ROUND(MOD(F12-C12,1)*1440,0)/1440-N(G12),"")</f>
      </c>
      <c r="I12" s="23">
        <f>IF(H12="","",MAX(0,ROUND((H12-$G$6/24)*1440,0)/1440))</f>
      </c>
      <c r="J12" s="24">
        <f>IF(AND(ISNUMBER(C12),NOT(ISNUMBER(F12))),"Falta la salida",IF(AND(ISNUMBER(F12),NOT(ISNUMBER(C12))),"Falta el ingreso",IF(AND(ISNUMBER(G12),G12&gt;0,G12&lt;45/1440),"Refrigerio menor a 45 min","")))</f>
      </c>
      <c r="K12" s="25"/>
      <c r="L12" s="25"/>
    </row>
    <row r="13" ht="20" customHeight="1" spans="1:12" x14ac:dyDescent="0.25">
      <c r="A13" s="20">
        <f>IF($N$4+4&lt;$N$5,$N$4+4,"")</f>
      </c>
      <c r="B13" s="21">
        <f>IF(A13="","",INDEX(Listas!$A$2:$A$8,WEEKDAY(A13))&amp;IF(COUNTIF(Feriados!$A$6:$A$49,A13)&gt;0," · feriado",""))</f>
      </c>
      <c r="C13" s="22"/>
      <c r="D13" s="22"/>
      <c r="E13" s="22"/>
      <c r="F13" s="22"/>
      <c r="G13" s="23">
        <f>IF(AND(ISNUMBER(D13),ISNUMBER(E13)),ROUND(MOD(E13-D13,1)*1440,0)/1440,"")</f>
      </c>
      <c r="H13" s="23">
        <f>IF(AND(ISNUMBER(C13),ISNUMBER(F13)),ROUND(MOD(F13-C13,1)*1440,0)/1440-N(G13),"")</f>
      </c>
      <c r="I13" s="23">
        <f>IF(H13="","",MAX(0,ROUND((H13-$G$6/24)*1440,0)/1440))</f>
      </c>
      <c r="J13" s="24">
        <f>IF(AND(ISNUMBER(C13),NOT(ISNUMBER(F13))),"Falta la salida",IF(AND(ISNUMBER(F13),NOT(ISNUMBER(C13))),"Falta el ingreso",IF(AND(ISNUMBER(G13),G13&gt;0,G13&lt;45/1440),"Refrigerio menor a 45 min","")))</f>
      </c>
      <c r="K13" s="25"/>
      <c r="L13" s="25"/>
    </row>
    <row r="14" ht="20" customHeight="1" spans="1:12" x14ac:dyDescent="0.25">
      <c r="A14" s="20">
        <f>IF($N$4+5&lt;$N$5,$N$4+5,"")</f>
      </c>
      <c r="B14" s="21">
        <f>IF(A14="","",INDEX(Listas!$A$2:$A$8,WEEKDAY(A14))&amp;IF(COUNTIF(Feriados!$A$6:$A$49,A14)&gt;0," · feriado",""))</f>
      </c>
      <c r="C14" s="22"/>
      <c r="D14" s="22"/>
      <c r="E14" s="22"/>
      <c r="F14" s="22"/>
      <c r="G14" s="23">
        <f>IF(AND(ISNUMBER(D14),ISNUMBER(E14)),ROUND(MOD(E14-D14,1)*1440,0)/1440,"")</f>
      </c>
      <c r="H14" s="23">
        <f>IF(AND(ISNUMBER(C14),ISNUMBER(F14)),ROUND(MOD(F14-C14,1)*1440,0)/1440-N(G14),"")</f>
      </c>
      <c r="I14" s="23">
        <f>IF(H14="","",MAX(0,ROUND((H14-$G$6/24)*1440,0)/1440))</f>
      </c>
      <c r="J14" s="24">
        <f>IF(AND(ISNUMBER(C14),NOT(ISNUMBER(F14))),"Falta la salida",IF(AND(ISNUMBER(F14),NOT(ISNUMBER(C14))),"Falta el ingreso",IF(AND(ISNUMBER(G14),G14&gt;0,G14&lt;45/1440),"Refrigerio menor a 45 min","")))</f>
      </c>
      <c r="K14" s="25"/>
      <c r="L14" s="25"/>
    </row>
    <row r="15" ht="20" customHeight="1" spans="1:12" x14ac:dyDescent="0.25">
      <c r="A15" s="20">
        <f>IF($N$4+6&lt;$N$5,$N$4+6,"")</f>
      </c>
      <c r="B15" s="21">
        <f>IF(A15="","",INDEX(Listas!$A$2:$A$8,WEEKDAY(A15))&amp;IF(COUNTIF(Feriados!$A$6:$A$49,A15)&gt;0," · feriado",""))</f>
      </c>
      <c r="C15" s="22"/>
      <c r="D15" s="22"/>
      <c r="E15" s="22"/>
      <c r="F15" s="22"/>
      <c r="G15" s="23">
        <f>IF(AND(ISNUMBER(D15),ISNUMBER(E15)),ROUND(MOD(E15-D15,1)*1440,0)/1440,"")</f>
      </c>
      <c r="H15" s="23">
        <f>IF(AND(ISNUMBER(C15),ISNUMBER(F15)),ROUND(MOD(F15-C15,1)*1440,0)/1440-N(G15),"")</f>
      </c>
      <c r="I15" s="23">
        <f>IF(H15="","",MAX(0,ROUND((H15-$G$6/24)*1440,0)/1440))</f>
      </c>
      <c r="J15" s="24">
        <f>IF(AND(ISNUMBER(C15),NOT(ISNUMBER(F15))),"Falta la salida",IF(AND(ISNUMBER(F15),NOT(ISNUMBER(C15))),"Falta el ingreso",IF(AND(ISNUMBER(G15),G15&gt;0,G15&lt;45/1440),"Refrigerio menor a 45 min","")))</f>
      </c>
      <c r="K15" s="25"/>
      <c r="L15" s="25"/>
    </row>
    <row r="16" ht="20" customHeight="1" spans="1:12" x14ac:dyDescent="0.25">
      <c r="A16" s="20">
        <f>IF($N$4+7&lt;$N$5,$N$4+7,"")</f>
      </c>
      <c r="B16" s="21">
        <f>IF(A16="","",INDEX(Listas!$A$2:$A$8,WEEKDAY(A16))&amp;IF(COUNTIF(Feriados!$A$6:$A$49,A16)&gt;0," · feriado",""))</f>
      </c>
      <c r="C16" s="22"/>
      <c r="D16" s="22"/>
      <c r="E16" s="22"/>
      <c r="F16" s="22"/>
      <c r="G16" s="23">
        <f>IF(AND(ISNUMBER(D16),ISNUMBER(E16)),ROUND(MOD(E16-D16,1)*1440,0)/1440,"")</f>
      </c>
      <c r="H16" s="23">
        <f>IF(AND(ISNUMBER(C16),ISNUMBER(F16)),ROUND(MOD(F16-C16,1)*1440,0)/1440-N(G16),"")</f>
      </c>
      <c r="I16" s="23">
        <f>IF(H16="","",MAX(0,ROUND((H16-$G$6/24)*1440,0)/1440))</f>
      </c>
      <c r="J16" s="24">
        <f>IF(AND(ISNUMBER(C16),NOT(ISNUMBER(F16))),"Falta la salida",IF(AND(ISNUMBER(F16),NOT(ISNUMBER(C16))),"Falta el ingreso",IF(AND(ISNUMBER(G16),G16&gt;0,G16&lt;45/1440),"Refrigerio menor a 45 min","")))</f>
      </c>
      <c r="K16" s="25"/>
      <c r="L16" s="25"/>
    </row>
    <row r="17" ht="20" customHeight="1" spans="1:12" x14ac:dyDescent="0.25">
      <c r="A17" s="20">
        <f>IF($N$4+8&lt;$N$5,$N$4+8,"")</f>
      </c>
      <c r="B17" s="21">
        <f>IF(A17="","",INDEX(Listas!$A$2:$A$8,WEEKDAY(A17))&amp;IF(COUNTIF(Feriados!$A$6:$A$49,A17)&gt;0," · feriado",""))</f>
      </c>
      <c r="C17" s="22"/>
      <c r="D17" s="22"/>
      <c r="E17" s="22"/>
      <c r="F17" s="22"/>
      <c r="G17" s="23">
        <f>IF(AND(ISNUMBER(D17),ISNUMBER(E17)),ROUND(MOD(E17-D17,1)*1440,0)/1440,"")</f>
      </c>
      <c r="H17" s="23">
        <f>IF(AND(ISNUMBER(C17),ISNUMBER(F17)),ROUND(MOD(F17-C17,1)*1440,0)/1440-N(G17),"")</f>
      </c>
      <c r="I17" s="23">
        <f>IF(H17="","",MAX(0,ROUND((H17-$G$6/24)*1440,0)/1440))</f>
      </c>
      <c r="J17" s="24">
        <f>IF(AND(ISNUMBER(C17),NOT(ISNUMBER(F17))),"Falta la salida",IF(AND(ISNUMBER(F17),NOT(ISNUMBER(C17))),"Falta el ingreso",IF(AND(ISNUMBER(G17),G17&gt;0,G17&lt;45/1440),"Refrigerio menor a 45 min","")))</f>
      </c>
      <c r="K17" s="25"/>
      <c r="L17" s="25"/>
    </row>
    <row r="18" ht="20" customHeight="1" spans="1:12" x14ac:dyDescent="0.25">
      <c r="A18" s="20">
        <f>IF($N$4+9&lt;$N$5,$N$4+9,"")</f>
      </c>
      <c r="B18" s="21">
        <f>IF(A18="","",INDEX(Listas!$A$2:$A$8,WEEKDAY(A18))&amp;IF(COUNTIF(Feriados!$A$6:$A$49,A18)&gt;0," · feriado",""))</f>
      </c>
      <c r="C18" s="22"/>
      <c r="D18" s="22"/>
      <c r="E18" s="22"/>
      <c r="F18" s="22"/>
      <c r="G18" s="23">
        <f>IF(AND(ISNUMBER(D18),ISNUMBER(E18)),ROUND(MOD(E18-D18,1)*1440,0)/1440,"")</f>
      </c>
      <c r="H18" s="23">
        <f>IF(AND(ISNUMBER(C18),ISNUMBER(F18)),ROUND(MOD(F18-C18,1)*1440,0)/1440-N(G18),"")</f>
      </c>
      <c r="I18" s="23">
        <f>IF(H18="","",MAX(0,ROUND((H18-$G$6/24)*1440,0)/1440))</f>
      </c>
      <c r="J18" s="24">
        <f>IF(AND(ISNUMBER(C18),NOT(ISNUMBER(F18))),"Falta la salida",IF(AND(ISNUMBER(F18),NOT(ISNUMBER(C18))),"Falta el ingreso",IF(AND(ISNUMBER(G18),G18&gt;0,G18&lt;45/1440),"Refrigerio menor a 45 min","")))</f>
      </c>
      <c r="K18" s="25"/>
      <c r="L18" s="25"/>
    </row>
    <row r="19" ht="20" customHeight="1" spans="1:12" x14ac:dyDescent="0.25">
      <c r="A19" s="20">
        <f>IF($N$4+10&lt;$N$5,$N$4+10,"")</f>
      </c>
      <c r="B19" s="21">
        <f>IF(A19="","",INDEX(Listas!$A$2:$A$8,WEEKDAY(A19))&amp;IF(COUNTIF(Feriados!$A$6:$A$49,A19)&gt;0," · feriado",""))</f>
      </c>
      <c r="C19" s="22"/>
      <c r="D19" s="22"/>
      <c r="E19" s="22"/>
      <c r="F19" s="22"/>
      <c r="G19" s="23">
        <f>IF(AND(ISNUMBER(D19),ISNUMBER(E19)),ROUND(MOD(E19-D19,1)*1440,0)/1440,"")</f>
      </c>
      <c r="H19" s="23">
        <f>IF(AND(ISNUMBER(C19),ISNUMBER(F19)),ROUND(MOD(F19-C19,1)*1440,0)/1440-N(G19),"")</f>
      </c>
      <c r="I19" s="23">
        <f>IF(H19="","",MAX(0,ROUND((H19-$G$6/24)*1440,0)/1440))</f>
      </c>
      <c r="J19" s="24">
        <f>IF(AND(ISNUMBER(C19),NOT(ISNUMBER(F19))),"Falta la salida",IF(AND(ISNUMBER(F19),NOT(ISNUMBER(C19))),"Falta el ingreso",IF(AND(ISNUMBER(G19),G19&gt;0,G19&lt;45/1440),"Refrigerio menor a 45 min","")))</f>
      </c>
      <c r="K19" s="25"/>
      <c r="L19" s="25"/>
    </row>
    <row r="20" ht="20" customHeight="1" spans="1:12" x14ac:dyDescent="0.25">
      <c r="A20" s="20">
        <f>IF($N$4+11&lt;$N$5,$N$4+11,"")</f>
      </c>
      <c r="B20" s="21">
        <f>IF(A20="","",INDEX(Listas!$A$2:$A$8,WEEKDAY(A20))&amp;IF(COUNTIF(Feriados!$A$6:$A$49,A20)&gt;0," · feriado",""))</f>
      </c>
      <c r="C20" s="22"/>
      <c r="D20" s="22"/>
      <c r="E20" s="22"/>
      <c r="F20" s="22"/>
      <c r="G20" s="23">
        <f>IF(AND(ISNUMBER(D20),ISNUMBER(E20)),ROUND(MOD(E20-D20,1)*1440,0)/1440,"")</f>
      </c>
      <c r="H20" s="23">
        <f>IF(AND(ISNUMBER(C20),ISNUMBER(F20)),ROUND(MOD(F20-C20,1)*1440,0)/1440-N(G20),"")</f>
      </c>
      <c r="I20" s="23">
        <f>IF(H20="","",MAX(0,ROUND((H20-$G$6/24)*1440,0)/1440))</f>
      </c>
      <c r="J20" s="24">
        <f>IF(AND(ISNUMBER(C20),NOT(ISNUMBER(F20))),"Falta la salida",IF(AND(ISNUMBER(F20),NOT(ISNUMBER(C20))),"Falta el ingreso",IF(AND(ISNUMBER(G20),G20&gt;0,G20&lt;45/1440),"Refrigerio menor a 45 min","")))</f>
      </c>
      <c r="K20" s="25"/>
      <c r="L20" s="25"/>
    </row>
    <row r="21" ht="20" customHeight="1" spans="1:12" x14ac:dyDescent="0.25">
      <c r="A21" s="20">
        <f>IF($N$4+12&lt;$N$5,$N$4+12,"")</f>
      </c>
      <c r="B21" s="21">
        <f>IF(A21="","",INDEX(Listas!$A$2:$A$8,WEEKDAY(A21))&amp;IF(COUNTIF(Feriados!$A$6:$A$49,A21)&gt;0," · feriado",""))</f>
      </c>
      <c r="C21" s="22"/>
      <c r="D21" s="22"/>
      <c r="E21" s="22"/>
      <c r="F21" s="22"/>
      <c r="G21" s="23">
        <f>IF(AND(ISNUMBER(D21),ISNUMBER(E21)),ROUND(MOD(E21-D21,1)*1440,0)/1440,"")</f>
      </c>
      <c r="H21" s="23">
        <f>IF(AND(ISNUMBER(C21),ISNUMBER(F21)),ROUND(MOD(F21-C21,1)*1440,0)/1440-N(G21),"")</f>
      </c>
      <c r="I21" s="23">
        <f>IF(H21="","",MAX(0,ROUND((H21-$G$6/24)*1440,0)/1440))</f>
      </c>
      <c r="J21" s="24">
        <f>IF(AND(ISNUMBER(C21),NOT(ISNUMBER(F21))),"Falta la salida",IF(AND(ISNUMBER(F21),NOT(ISNUMBER(C21))),"Falta el ingreso",IF(AND(ISNUMBER(G21),G21&gt;0,G21&lt;45/1440),"Refrigerio menor a 45 min","")))</f>
      </c>
      <c r="K21" s="25"/>
      <c r="L21" s="25"/>
    </row>
    <row r="22" ht="20" customHeight="1" spans="1:12" x14ac:dyDescent="0.25">
      <c r="A22" s="20">
        <f>IF($N$4+13&lt;$N$5,$N$4+13,"")</f>
      </c>
      <c r="B22" s="21">
        <f>IF(A22="","",INDEX(Listas!$A$2:$A$8,WEEKDAY(A22))&amp;IF(COUNTIF(Feriados!$A$6:$A$49,A22)&gt;0," · feriado",""))</f>
      </c>
      <c r="C22" s="22"/>
      <c r="D22" s="22"/>
      <c r="E22" s="22"/>
      <c r="F22" s="22"/>
      <c r="G22" s="23">
        <f>IF(AND(ISNUMBER(D22),ISNUMBER(E22)),ROUND(MOD(E22-D22,1)*1440,0)/1440,"")</f>
      </c>
      <c r="H22" s="23">
        <f>IF(AND(ISNUMBER(C22),ISNUMBER(F22)),ROUND(MOD(F22-C22,1)*1440,0)/1440-N(G22),"")</f>
      </c>
      <c r="I22" s="23">
        <f>IF(H22="","",MAX(0,ROUND((H22-$G$6/24)*1440,0)/1440))</f>
      </c>
      <c r="J22" s="24">
        <f>IF(AND(ISNUMBER(C22),NOT(ISNUMBER(F22))),"Falta la salida",IF(AND(ISNUMBER(F22),NOT(ISNUMBER(C22))),"Falta el ingreso",IF(AND(ISNUMBER(G22),G22&gt;0,G22&lt;45/1440),"Refrigerio menor a 45 min","")))</f>
      </c>
      <c r="K22" s="25"/>
      <c r="L22" s="25"/>
    </row>
    <row r="23" ht="20" customHeight="1" spans="1:12" x14ac:dyDescent="0.25">
      <c r="A23" s="20">
        <f>IF($N$4+14&lt;$N$5,$N$4+14,"")</f>
      </c>
      <c r="B23" s="21">
        <f>IF(A23="","",INDEX(Listas!$A$2:$A$8,WEEKDAY(A23))&amp;IF(COUNTIF(Feriados!$A$6:$A$49,A23)&gt;0," · feriado",""))</f>
      </c>
      <c r="C23" s="22"/>
      <c r="D23" s="22"/>
      <c r="E23" s="22"/>
      <c r="F23" s="22"/>
      <c r="G23" s="23">
        <f>IF(AND(ISNUMBER(D23),ISNUMBER(E23)),ROUND(MOD(E23-D23,1)*1440,0)/1440,"")</f>
      </c>
      <c r="H23" s="23">
        <f>IF(AND(ISNUMBER(C23),ISNUMBER(F23)),ROUND(MOD(F23-C23,1)*1440,0)/1440-N(G23),"")</f>
      </c>
      <c r="I23" s="23">
        <f>IF(H23="","",MAX(0,ROUND((H23-$G$6/24)*1440,0)/1440))</f>
      </c>
      <c r="J23" s="24">
        <f>IF(AND(ISNUMBER(C23),NOT(ISNUMBER(F23))),"Falta la salida",IF(AND(ISNUMBER(F23),NOT(ISNUMBER(C23))),"Falta el ingreso",IF(AND(ISNUMBER(G23),G23&gt;0,G23&lt;45/1440),"Refrigerio menor a 45 min","")))</f>
      </c>
      <c r="K23" s="25"/>
      <c r="L23" s="25"/>
    </row>
    <row r="24" ht="20" customHeight="1" spans="1:12" x14ac:dyDescent="0.25">
      <c r="A24" s="20">
        <f>IF($N$4+15&lt;$N$5,$N$4+15,"")</f>
      </c>
      <c r="B24" s="21">
        <f>IF(A24="","",INDEX(Listas!$A$2:$A$8,WEEKDAY(A24))&amp;IF(COUNTIF(Feriados!$A$6:$A$49,A24)&gt;0," · feriado",""))</f>
      </c>
      <c r="C24" s="22"/>
      <c r="D24" s="22"/>
      <c r="E24" s="22"/>
      <c r="F24" s="22"/>
      <c r="G24" s="23">
        <f>IF(AND(ISNUMBER(D24),ISNUMBER(E24)),ROUND(MOD(E24-D24,1)*1440,0)/1440,"")</f>
      </c>
      <c r="H24" s="23">
        <f>IF(AND(ISNUMBER(C24),ISNUMBER(F24)),ROUND(MOD(F24-C24,1)*1440,0)/1440-N(G24),"")</f>
      </c>
      <c r="I24" s="23">
        <f>IF(H24="","",MAX(0,ROUND((H24-$G$6/24)*1440,0)/1440))</f>
      </c>
      <c r="J24" s="24">
        <f>IF(AND(ISNUMBER(C24),NOT(ISNUMBER(F24))),"Falta la salida",IF(AND(ISNUMBER(F24),NOT(ISNUMBER(C24))),"Falta el ingreso",IF(AND(ISNUMBER(G24),G24&gt;0,G24&lt;45/1440),"Refrigerio menor a 45 min","")))</f>
      </c>
      <c r="K24" s="25"/>
      <c r="L24" s="25"/>
    </row>
    <row r="25" ht="20" customHeight="1" spans="1:12" x14ac:dyDescent="0.25">
      <c r="A25" s="20">
        <f>IF($N$4+16&lt;$N$5,$N$4+16,"")</f>
      </c>
      <c r="B25" s="21">
        <f>IF(A25="","",INDEX(Listas!$A$2:$A$8,WEEKDAY(A25))&amp;IF(COUNTIF(Feriados!$A$6:$A$49,A25)&gt;0," · feriado",""))</f>
      </c>
      <c r="C25" s="22"/>
      <c r="D25" s="22"/>
      <c r="E25" s="22"/>
      <c r="F25" s="22"/>
      <c r="G25" s="23">
        <f>IF(AND(ISNUMBER(D25),ISNUMBER(E25)),ROUND(MOD(E25-D25,1)*1440,0)/1440,"")</f>
      </c>
      <c r="H25" s="23">
        <f>IF(AND(ISNUMBER(C25),ISNUMBER(F25)),ROUND(MOD(F25-C25,1)*1440,0)/1440-N(G25),"")</f>
      </c>
      <c r="I25" s="23">
        <f>IF(H25="","",MAX(0,ROUND((H25-$G$6/24)*1440,0)/1440))</f>
      </c>
      <c r="J25" s="24">
        <f>IF(AND(ISNUMBER(C25),NOT(ISNUMBER(F25))),"Falta la salida",IF(AND(ISNUMBER(F25),NOT(ISNUMBER(C25))),"Falta el ingreso",IF(AND(ISNUMBER(G25),G25&gt;0,G25&lt;45/1440),"Refrigerio menor a 45 min","")))</f>
      </c>
      <c r="K25" s="25"/>
      <c r="L25" s="25"/>
    </row>
    <row r="26" ht="20" customHeight="1" spans="1:12" x14ac:dyDescent="0.25">
      <c r="A26" s="20">
        <f>IF($N$4+17&lt;$N$5,$N$4+17,"")</f>
      </c>
      <c r="B26" s="21">
        <f>IF(A26="","",INDEX(Listas!$A$2:$A$8,WEEKDAY(A26))&amp;IF(COUNTIF(Feriados!$A$6:$A$49,A26)&gt;0," · feriado",""))</f>
      </c>
      <c r="C26" s="22"/>
      <c r="D26" s="22"/>
      <c r="E26" s="22"/>
      <c r="F26" s="22"/>
      <c r="G26" s="23">
        <f>IF(AND(ISNUMBER(D26),ISNUMBER(E26)),ROUND(MOD(E26-D26,1)*1440,0)/1440,"")</f>
      </c>
      <c r="H26" s="23">
        <f>IF(AND(ISNUMBER(C26),ISNUMBER(F26)),ROUND(MOD(F26-C26,1)*1440,0)/1440-N(G26),"")</f>
      </c>
      <c r="I26" s="23">
        <f>IF(H26="","",MAX(0,ROUND((H26-$G$6/24)*1440,0)/1440))</f>
      </c>
      <c r="J26" s="24">
        <f>IF(AND(ISNUMBER(C26),NOT(ISNUMBER(F26))),"Falta la salida",IF(AND(ISNUMBER(F26),NOT(ISNUMBER(C26))),"Falta el ingreso",IF(AND(ISNUMBER(G26),G26&gt;0,G26&lt;45/1440),"Refrigerio menor a 45 min","")))</f>
      </c>
      <c r="K26" s="25"/>
      <c r="L26" s="25"/>
    </row>
    <row r="27" ht="20" customHeight="1" spans="1:12" x14ac:dyDescent="0.25">
      <c r="A27" s="20">
        <f>IF($N$4+18&lt;$N$5,$N$4+18,"")</f>
      </c>
      <c r="B27" s="21">
        <f>IF(A27="","",INDEX(Listas!$A$2:$A$8,WEEKDAY(A27))&amp;IF(COUNTIF(Feriados!$A$6:$A$49,A27)&gt;0," · feriado",""))</f>
      </c>
      <c r="C27" s="22"/>
      <c r="D27" s="22"/>
      <c r="E27" s="22"/>
      <c r="F27" s="22"/>
      <c r="G27" s="23">
        <f>IF(AND(ISNUMBER(D27),ISNUMBER(E27)),ROUND(MOD(E27-D27,1)*1440,0)/1440,"")</f>
      </c>
      <c r="H27" s="23">
        <f>IF(AND(ISNUMBER(C27),ISNUMBER(F27)),ROUND(MOD(F27-C27,1)*1440,0)/1440-N(G27),"")</f>
      </c>
      <c r="I27" s="23">
        <f>IF(H27="","",MAX(0,ROUND((H27-$G$6/24)*1440,0)/1440))</f>
      </c>
      <c r="J27" s="24">
        <f>IF(AND(ISNUMBER(C27),NOT(ISNUMBER(F27))),"Falta la salida",IF(AND(ISNUMBER(F27),NOT(ISNUMBER(C27))),"Falta el ingreso",IF(AND(ISNUMBER(G27),G27&gt;0,G27&lt;45/1440),"Refrigerio menor a 45 min","")))</f>
      </c>
      <c r="K27" s="25"/>
      <c r="L27" s="25"/>
    </row>
    <row r="28" ht="20" customHeight="1" spans="1:12" x14ac:dyDescent="0.25">
      <c r="A28" s="20">
        <f>IF($N$4+19&lt;$N$5,$N$4+19,"")</f>
      </c>
      <c r="B28" s="21">
        <f>IF(A28="","",INDEX(Listas!$A$2:$A$8,WEEKDAY(A28))&amp;IF(COUNTIF(Feriados!$A$6:$A$49,A28)&gt;0," · feriado",""))</f>
      </c>
      <c r="C28" s="22"/>
      <c r="D28" s="22"/>
      <c r="E28" s="22"/>
      <c r="F28" s="22"/>
      <c r="G28" s="23">
        <f>IF(AND(ISNUMBER(D28),ISNUMBER(E28)),ROUND(MOD(E28-D28,1)*1440,0)/1440,"")</f>
      </c>
      <c r="H28" s="23">
        <f>IF(AND(ISNUMBER(C28),ISNUMBER(F28)),ROUND(MOD(F28-C28,1)*1440,0)/1440-N(G28),"")</f>
      </c>
      <c r="I28" s="23">
        <f>IF(H28="","",MAX(0,ROUND((H28-$G$6/24)*1440,0)/1440))</f>
      </c>
      <c r="J28" s="24">
        <f>IF(AND(ISNUMBER(C28),NOT(ISNUMBER(F28))),"Falta la salida",IF(AND(ISNUMBER(F28),NOT(ISNUMBER(C28))),"Falta el ingreso",IF(AND(ISNUMBER(G28),G28&gt;0,G28&lt;45/1440),"Refrigerio menor a 45 min","")))</f>
      </c>
      <c r="K28" s="25"/>
      <c r="L28" s="25"/>
    </row>
    <row r="29" ht="20" customHeight="1" spans="1:12" x14ac:dyDescent="0.25">
      <c r="A29" s="20">
        <f>IF($N$4+20&lt;$N$5,$N$4+20,"")</f>
      </c>
      <c r="B29" s="21">
        <f>IF(A29="","",INDEX(Listas!$A$2:$A$8,WEEKDAY(A29))&amp;IF(COUNTIF(Feriados!$A$6:$A$49,A29)&gt;0," · feriado",""))</f>
      </c>
      <c r="C29" s="22"/>
      <c r="D29" s="22"/>
      <c r="E29" s="22"/>
      <c r="F29" s="22"/>
      <c r="G29" s="23">
        <f>IF(AND(ISNUMBER(D29),ISNUMBER(E29)),ROUND(MOD(E29-D29,1)*1440,0)/1440,"")</f>
      </c>
      <c r="H29" s="23">
        <f>IF(AND(ISNUMBER(C29),ISNUMBER(F29)),ROUND(MOD(F29-C29,1)*1440,0)/1440-N(G29),"")</f>
      </c>
      <c r="I29" s="23">
        <f>IF(H29="","",MAX(0,ROUND((H29-$G$6/24)*1440,0)/1440))</f>
      </c>
      <c r="J29" s="24">
        <f>IF(AND(ISNUMBER(C29),NOT(ISNUMBER(F29))),"Falta la salida",IF(AND(ISNUMBER(F29),NOT(ISNUMBER(C29))),"Falta el ingreso",IF(AND(ISNUMBER(G29),G29&gt;0,G29&lt;45/1440),"Refrigerio menor a 45 min","")))</f>
      </c>
      <c r="K29" s="25"/>
      <c r="L29" s="25"/>
    </row>
    <row r="30" ht="20" customHeight="1" spans="1:12" x14ac:dyDescent="0.25">
      <c r="A30" s="20">
        <f>IF($N$4+21&lt;$N$5,$N$4+21,"")</f>
      </c>
      <c r="B30" s="21">
        <f>IF(A30="","",INDEX(Listas!$A$2:$A$8,WEEKDAY(A30))&amp;IF(COUNTIF(Feriados!$A$6:$A$49,A30)&gt;0," · feriado",""))</f>
      </c>
      <c r="C30" s="22"/>
      <c r="D30" s="22"/>
      <c r="E30" s="22"/>
      <c r="F30" s="22"/>
      <c r="G30" s="23">
        <f>IF(AND(ISNUMBER(D30),ISNUMBER(E30)),ROUND(MOD(E30-D30,1)*1440,0)/1440,"")</f>
      </c>
      <c r="H30" s="23">
        <f>IF(AND(ISNUMBER(C30),ISNUMBER(F30)),ROUND(MOD(F30-C30,1)*1440,0)/1440-N(G30),"")</f>
      </c>
      <c r="I30" s="23">
        <f>IF(H30="","",MAX(0,ROUND((H30-$G$6/24)*1440,0)/1440))</f>
      </c>
      <c r="J30" s="24">
        <f>IF(AND(ISNUMBER(C30),NOT(ISNUMBER(F30))),"Falta la salida",IF(AND(ISNUMBER(F30),NOT(ISNUMBER(C30))),"Falta el ingreso",IF(AND(ISNUMBER(G30),G30&gt;0,G30&lt;45/1440),"Refrigerio menor a 45 min","")))</f>
      </c>
      <c r="K30" s="25"/>
      <c r="L30" s="25"/>
    </row>
    <row r="31" ht="20" customHeight="1" spans="1:12" x14ac:dyDescent="0.25">
      <c r="A31" s="20">
        <f>IF($N$4+22&lt;$N$5,$N$4+22,"")</f>
      </c>
      <c r="B31" s="21">
        <f>IF(A31="","",INDEX(Listas!$A$2:$A$8,WEEKDAY(A31))&amp;IF(COUNTIF(Feriados!$A$6:$A$49,A31)&gt;0," · feriado",""))</f>
      </c>
      <c r="C31" s="22"/>
      <c r="D31" s="22"/>
      <c r="E31" s="22"/>
      <c r="F31" s="22"/>
      <c r="G31" s="23">
        <f>IF(AND(ISNUMBER(D31),ISNUMBER(E31)),ROUND(MOD(E31-D31,1)*1440,0)/1440,"")</f>
      </c>
      <c r="H31" s="23">
        <f>IF(AND(ISNUMBER(C31),ISNUMBER(F31)),ROUND(MOD(F31-C31,1)*1440,0)/1440-N(G31),"")</f>
      </c>
      <c r="I31" s="23">
        <f>IF(H31="","",MAX(0,ROUND((H31-$G$6/24)*1440,0)/1440))</f>
      </c>
      <c r="J31" s="24">
        <f>IF(AND(ISNUMBER(C31),NOT(ISNUMBER(F31))),"Falta la salida",IF(AND(ISNUMBER(F31),NOT(ISNUMBER(C31))),"Falta el ingreso",IF(AND(ISNUMBER(G31),G31&gt;0,G31&lt;45/1440),"Refrigerio menor a 45 min","")))</f>
      </c>
      <c r="K31" s="25"/>
      <c r="L31" s="25"/>
    </row>
    <row r="32" ht="20" customHeight="1" spans="1:12" x14ac:dyDescent="0.25">
      <c r="A32" s="20">
        <f>IF($N$4+23&lt;$N$5,$N$4+23,"")</f>
      </c>
      <c r="B32" s="21">
        <f>IF(A32="","",INDEX(Listas!$A$2:$A$8,WEEKDAY(A32))&amp;IF(COUNTIF(Feriados!$A$6:$A$49,A32)&gt;0," · feriado",""))</f>
      </c>
      <c r="C32" s="22"/>
      <c r="D32" s="22"/>
      <c r="E32" s="22"/>
      <c r="F32" s="22"/>
      <c r="G32" s="23">
        <f>IF(AND(ISNUMBER(D32),ISNUMBER(E32)),ROUND(MOD(E32-D32,1)*1440,0)/1440,"")</f>
      </c>
      <c r="H32" s="23">
        <f>IF(AND(ISNUMBER(C32),ISNUMBER(F32)),ROUND(MOD(F32-C32,1)*1440,0)/1440-N(G32),"")</f>
      </c>
      <c r="I32" s="23">
        <f>IF(H32="","",MAX(0,ROUND((H32-$G$6/24)*1440,0)/1440))</f>
      </c>
      <c r="J32" s="24">
        <f>IF(AND(ISNUMBER(C32),NOT(ISNUMBER(F32))),"Falta la salida",IF(AND(ISNUMBER(F32),NOT(ISNUMBER(C32))),"Falta el ingreso",IF(AND(ISNUMBER(G32),G32&gt;0,G32&lt;45/1440),"Refrigerio menor a 45 min","")))</f>
      </c>
      <c r="K32" s="25"/>
      <c r="L32" s="25"/>
    </row>
    <row r="33" ht="20" customHeight="1" spans="1:12" x14ac:dyDescent="0.25">
      <c r="A33" s="20">
        <f>IF($N$4+24&lt;$N$5,$N$4+24,"")</f>
      </c>
      <c r="B33" s="21">
        <f>IF(A33="","",INDEX(Listas!$A$2:$A$8,WEEKDAY(A33))&amp;IF(COUNTIF(Feriados!$A$6:$A$49,A33)&gt;0," · feriado",""))</f>
      </c>
      <c r="C33" s="22"/>
      <c r="D33" s="22"/>
      <c r="E33" s="22"/>
      <c r="F33" s="22"/>
      <c r="G33" s="23">
        <f>IF(AND(ISNUMBER(D33),ISNUMBER(E33)),ROUND(MOD(E33-D33,1)*1440,0)/1440,"")</f>
      </c>
      <c r="H33" s="23">
        <f>IF(AND(ISNUMBER(C33),ISNUMBER(F33)),ROUND(MOD(F33-C33,1)*1440,0)/1440-N(G33),"")</f>
      </c>
      <c r="I33" s="23">
        <f>IF(H33="","",MAX(0,ROUND((H33-$G$6/24)*1440,0)/1440))</f>
      </c>
      <c r="J33" s="24">
        <f>IF(AND(ISNUMBER(C33),NOT(ISNUMBER(F33))),"Falta la salida",IF(AND(ISNUMBER(F33),NOT(ISNUMBER(C33))),"Falta el ingreso",IF(AND(ISNUMBER(G33),G33&gt;0,G33&lt;45/1440),"Refrigerio menor a 45 min","")))</f>
      </c>
      <c r="K33" s="25"/>
      <c r="L33" s="25"/>
    </row>
    <row r="34" ht="20" customHeight="1" spans="1:12" x14ac:dyDescent="0.25">
      <c r="A34" s="20">
        <f>IF($N$4+25&lt;$N$5,$N$4+25,"")</f>
      </c>
      <c r="B34" s="21">
        <f>IF(A34="","",INDEX(Listas!$A$2:$A$8,WEEKDAY(A34))&amp;IF(COUNTIF(Feriados!$A$6:$A$49,A34)&gt;0," · feriado",""))</f>
      </c>
      <c r="C34" s="22"/>
      <c r="D34" s="22"/>
      <c r="E34" s="22"/>
      <c r="F34" s="22"/>
      <c r="G34" s="23">
        <f>IF(AND(ISNUMBER(D34),ISNUMBER(E34)),ROUND(MOD(E34-D34,1)*1440,0)/1440,"")</f>
      </c>
      <c r="H34" s="23">
        <f>IF(AND(ISNUMBER(C34),ISNUMBER(F34)),ROUND(MOD(F34-C34,1)*1440,0)/1440-N(G34),"")</f>
      </c>
      <c r="I34" s="23">
        <f>IF(H34="","",MAX(0,ROUND((H34-$G$6/24)*1440,0)/1440))</f>
      </c>
      <c r="J34" s="24">
        <f>IF(AND(ISNUMBER(C34),NOT(ISNUMBER(F34))),"Falta la salida",IF(AND(ISNUMBER(F34),NOT(ISNUMBER(C34))),"Falta el ingreso",IF(AND(ISNUMBER(G34),G34&gt;0,G34&lt;45/1440),"Refrigerio menor a 45 min","")))</f>
      </c>
      <c r="K34" s="25"/>
      <c r="L34" s="25"/>
    </row>
    <row r="35" ht="20" customHeight="1" spans="1:12" x14ac:dyDescent="0.25">
      <c r="A35" s="20">
        <f>IF($N$4+26&lt;$N$5,$N$4+26,"")</f>
      </c>
      <c r="B35" s="21">
        <f>IF(A35="","",INDEX(Listas!$A$2:$A$8,WEEKDAY(A35))&amp;IF(COUNTIF(Feriados!$A$6:$A$49,A35)&gt;0," · feriado",""))</f>
      </c>
      <c r="C35" s="22"/>
      <c r="D35" s="22"/>
      <c r="E35" s="22"/>
      <c r="F35" s="22"/>
      <c r="G35" s="23">
        <f>IF(AND(ISNUMBER(D35),ISNUMBER(E35)),ROUND(MOD(E35-D35,1)*1440,0)/1440,"")</f>
      </c>
      <c r="H35" s="23">
        <f>IF(AND(ISNUMBER(C35),ISNUMBER(F35)),ROUND(MOD(F35-C35,1)*1440,0)/1440-N(G35),"")</f>
      </c>
      <c r="I35" s="23">
        <f>IF(H35="","",MAX(0,ROUND((H35-$G$6/24)*1440,0)/1440))</f>
      </c>
      <c r="J35" s="24">
        <f>IF(AND(ISNUMBER(C35),NOT(ISNUMBER(F35))),"Falta la salida",IF(AND(ISNUMBER(F35),NOT(ISNUMBER(C35))),"Falta el ingreso",IF(AND(ISNUMBER(G35),G35&gt;0,G35&lt;45/1440),"Refrigerio menor a 45 min","")))</f>
      </c>
      <c r="K35" s="25"/>
      <c r="L35" s="25"/>
    </row>
    <row r="36" ht="20" customHeight="1" spans="1:12" x14ac:dyDescent="0.25">
      <c r="A36" s="20">
        <f>IF($N$4+27&lt;$N$5,$N$4+27,"")</f>
      </c>
      <c r="B36" s="21">
        <f>IF(A36="","",INDEX(Listas!$A$2:$A$8,WEEKDAY(A36))&amp;IF(COUNTIF(Feriados!$A$6:$A$49,A36)&gt;0," · feriado",""))</f>
      </c>
      <c r="C36" s="22"/>
      <c r="D36" s="22"/>
      <c r="E36" s="22"/>
      <c r="F36" s="22"/>
      <c r="G36" s="23">
        <f>IF(AND(ISNUMBER(D36),ISNUMBER(E36)),ROUND(MOD(E36-D36,1)*1440,0)/1440,"")</f>
      </c>
      <c r="H36" s="23">
        <f>IF(AND(ISNUMBER(C36),ISNUMBER(F36)),ROUND(MOD(F36-C36,1)*1440,0)/1440-N(G36),"")</f>
      </c>
      <c r="I36" s="23">
        <f>IF(H36="","",MAX(0,ROUND((H36-$G$6/24)*1440,0)/1440))</f>
      </c>
      <c r="J36" s="24">
        <f>IF(AND(ISNUMBER(C36),NOT(ISNUMBER(F36))),"Falta la salida",IF(AND(ISNUMBER(F36),NOT(ISNUMBER(C36))),"Falta el ingreso",IF(AND(ISNUMBER(G36),G36&gt;0,G36&lt;45/1440),"Refrigerio menor a 45 min","")))</f>
      </c>
      <c r="K36" s="25"/>
      <c r="L36" s="25"/>
    </row>
    <row r="37" ht="20" customHeight="1" spans="1:12" x14ac:dyDescent="0.25">
      <c r="A37" s="20">
        <f>IF($N$4+28&lt;$N$5,$N$4+28,"")</f>
      </c>
      <c r="B37" s="21">
        <f>IF(A37="","",INDEX(Listas!$A$2:$A$8,WEEKDAY(A37))&amp;IF(COUNTIF(Feriados!$A$6:$A$49,A37)&gt;0," · feriado",""))</f>
      </c>
      <c r="C37" s="22"/>
      <c r="D37" s="22"/>
      <c r="E37" s="22"/>
      <c r="F37" s="22"/>
      <c r="G37" s="23">
        <f>IF(AND(ISNUMBER(D37),ISNUMBER(E37)),ROUND(MOD(E37-D37,1)*1440,0)/1440,"")</f>
      </c>
      <c r="H37" s="23">
        <f>IF(AND(ISNUMBER(C37),ISNUMBER(F37)),ROUND(MOD(F37-C37,1)*1440,0)/1440-N(G37),"")</f>
      </c>
      <c r="I37" s="23">
        <f>IF(H37="","",MAX(0,ROUND((H37-$G$6/24)*1440,0)/1440))</f>
      </c>
      <c r="J37" s="24">
        <f>IF(AND(ISNUMBER(C37),NOT(ISNUMBER(F37))),"Falta la salida",IF(AND(ISNUMBER(F37),NOT(ISNUMBER(C37))),"Falta el ingreso",IF(AND(ISNUMBER(G37),G37&gt;0,G37&lt;45/1440),"Refrigerio menor a 45 min","")))</f>
      </c>
      <c r="K37" s="25"/>
      <c r="L37" s="25"/>
    </row>
    <row r="38" ht="20" customHeight="1" spans="1:12" x14ac:dyDescent="0.25">
      <c r="A38" s="20">
        <f>IF($N$4+29&lt;$N$5,$N$4+29,"")</f>
      </c>
      <c r="B38" s="21">
        <f>IF(A38="","",INDEX(Listas!$A$2:$A$8,WEEKDAY(A38))&amp;IF(COUNTIF(Feriados!$A$6:$A$49,A38)&gt;0," · feriado",""))</f>
      </c>
      <c r="C38" s="22"/>
      <c r="D38" s="22"/>
      <c r="E38" s="22"/>
      <c r="F38" s="22"/>
      <c r="G38" s="23">
        <f>IF(AND(ISNUMBER(D38),ISNUMBER(E38)),ROUND(MOD(E38-D38,1)*1440,0)/1440,"")</f>
      </c>
      <c r="H38" s="23">
        <f>IF(AND(ISNUMBER(C38),ISNUMBER(F38)),ROUND(MOD(F38-C38,1)*1440,0)/1440-N(G38),"")</f>
      </c>
      <c r="I38" s="23">
        <f>IF(H38="","",MAX(0,ROUND((H38-$G$6/24)*1440,0)/1440))</f>
      </c>
      <c r="J38" s="24">
        <f>IF(AND(ISNUMBER(C38),NOT(ISNUMBER(F38))),"Falta la salida",IF(AND(ISNUMBER(F38),NOT(ISNUMBER(C38))),"Falta el ingreso",IF(AND(ISNUMBER(G38),G38&gt;0,G38&lt;45/1440),"Refrigerio menor a 45 min","")))</f>
      </c>
      <c r="K38" s="25"/>
      <c r="L38" s="25"/>
    </row>
    <row r="39" ht="20" customHeight="1" spans="1:12" x14ac:dyDescent="0.25">
      <c r="A39" s="20">
        <f>IF($N$4+30&lt;$N$5,$N$4+30,"")</f>
      </c>
      <c r="B39" s="21">
        <f>IF(A39="","",INDEX(Listas!$A$2:$A$8,WEEKDAY(A39))&amp;IF(COUNTIF(Feriados!$A$6:$A$49,A39)&gt;0," · feriado",""))</f>
      </c>
      <c r="C39" s="22"/>
      <c r="D39" s="22"/>
      <c r="E39" s="22"/>
      <c r="F39" s="22"/>
      <c r="G39" s="23">
        <f>IF(AND(ISNUMBER(D39),ISNUMBER(E39)),ROUND(MOD(E39-D39,1)*1440,0)/1440,"")</f>
      </c>
      <c r="H39" s="23">
        <f>IF(AND(ISNUMBER(C39),ISNUMBER(F39)),ROUND(MOD(F39-C39,1)*1440,0)/1440-N(G39),"")</f>
      </c>
      <c r="I39" s="23">
        <f>IF(H39="","",MAX(0,ROUND((H39-$G$6/24)*1440,0)/1440))</f>
      </c>
      <c r="J39" s="24">
        <f>IF(AND(ISNUMBER(C39),NOT(ISNUMBER(F39))),"Falta la salida",IF(AND(ISNUMBER(F39),NOT(ISNUMBER(C39))),"Falta el ingreso",IF(AND(ISNUMBER(G39),G39&gt;0,G39&lt;45/1440),"Refrigerio menor a 45 min","")))</f>
      </c>
      <c r="K39" s="25"/>
      <c r="L39" s="25"/>
    </row>
    <row r="40" spans="7:9" x14ac:dyDescent="0.25">
      <c r="G40" s="16" t="s">
        <v>50</v>
      </c>
      <c r="H40" s="26">
        <f>SUM(H9:H39)</f>
      </c>
      <c r="I40" s="26">
        <f>SUM(I9:I39)</f>
      </c>
    </row>
    <row r="42" spans="1:1" x14ac:dyDescent="0.25">
      <c r="A42" s="6" t="s">
        <v>17</v>
      </c>
    </row>
    <row r="43" spans="1:1" x14ac:dyDescent="0.25">
      <c r="A43" s="7" t="s">
        <v>18</v>
      </c>
    </row>
    <row r="44" spans="1:1" x14ac:dyDescent="0.25">
      <c r="A44" s="8" t="s">
        <v>19</v>
      </c>
    </row>
    <row r="45" spans="1:1" x14ac:dyDescent="0.25">
      <c r="A45" s="7" t="s">
        <v>20</v>
      </c>
    </row>
  </sheetData>
  <mergeCells count="7">
    <mergeCell ref="A1:L1"/>
    <mergeCell ref="A2:L2"/>
    <mergeCell ref="A3:L3"/>
    <mergeCell ref="B4:E4"/>
    <mergeCell ref="G4:I4"/>
    <mergeCell ref="B5:E5"/>
    <mergeCell ref="G5:I5"/>
  </mergeCells>
  <conditionalFormatting sqref="A9:B39">
    <cfRule type="expression" dxfId="11" priority="1">
      <formula>RIGHT($B9,7)="feriado"</formula>
    </cfRule>
  </conditionalFormatting>
  <hyperlinks>
    <hyperlink ref="A44" r:id="rId1"/>
  </hyperlinks>
  <pageSetup paperSize="9" orientation="landscape" fitToWidth="1" fitToHeight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40" customWidth="1"/>
    <col min="4" max="4" width="46" customWidth="1"/>
  </cols>
  <sheetData>
    <row r="1" ht="34" customHeight="1" spans="1:4" x14ac:dyDescent="0.25">
      <c r="A1" s="1" t="s">
        <v>0</v>
      </c>
      <c r="B1" s="1"/>
      <c r="C1" s="1"/>
      <c r="D1" s="1"/>
    </row>
    <row r="2" ht="24" customHeight="1" spans="1:4" x14ac:dyDescent="0.25">
      <c r="A2" s="2" t="s">
        <v>73</v>
      </c>
      <c r="B2" s="2"/>
      <c r="C2" s="2"/>
      <c r="D2" s="2"/>
    </row>
    <row r="3" ht="60" customHeight="1" spans="1:4" x14ac:dyDescent="0.25">
      <c r="A3" s="9" t="s">
        <v>74</v>
      </c>
      <c r="B3" s="9"/>
      <c r="C3" s="9"/>
      <c r="D3" s="9"/>
    </row>
    <row r="5" ht="42" customHeight="1" spans="1:4" x14ac:dyDescent="0.25">
      <c r="A5" s="19" t="s">
        <v>40</v>
      </c>
      <c r="B5" s="19" t="s">
        <v>41</v>
      </c>
      <c r="C5" s="19" t="s">
        <v>75</v>
      </c>
      <c r="D5" s="19" t="s">
        <v>76</v>
      </c>
    </row>
    <row r="6" spans="1:4" x14ac:dyDescent="0.25">
      <c r="A6" s="27">
        <v>46023</v>
      </c>
      <c r="B6" s="21">
        <f>IF(ISNUMBER(A6),INDEX(Listas!$A$2:$A$8,WEEKDAY(A6)),"")</f>
      </c>
      <c r="C6" s="25" t="s">
        <v>77</v>
      </c>
      <c r="D6" s="25"/>
    </row>
    <row r="7" spans="1:4" x14ac:dyDescent="0.25">
      <c r="A7" s="27">
        <v>46114</v>
      </c>
      <c r="B7" s="21">
        <f>IF(ISNUMBER(A7),INDEX(Listas!$A$2:$A$8,WEEKDAY(A7)),"")</f>
      </c>
      <c r="C7" s="25" t="s">
        <v>78</v>
      </c>
      <c r="D7" s="25"/>
    </row>
    <row r="8" spans="1:4" x14ac:dyDescent="0.25">
      <c r="A8" s="27">
        <v>46115</v>
      </c>
      <c r="B8" s="21">
        <f>IF(ISNUMBER(A8),INDEX(Listas!$A$2:$A$8,WEEKDAY(A8)),"")</f>
      </c>
      <c r="C8" s="25" t="s">
        <v>79</v>
      </c>
      <c r="D8" s="25"/>
    </row>
    <row r="9" spans="1:4" x14ac:dyDescent="0.25">
      <c r="A9" s="27">
        <v>46143</v>
      </c>
      <c r="B9" s="21">
        <f>IF(ISNUMBER(A9),INDEX(Listas!$A$2:$A$8,WEEKDAY(A9)),"")</f>
      </c>
      <c r="C9" s="25" t="s">
        <v>80</v>
      </c>
      <c r="D9" s="25"/>
    </row>
    <row r="10" spans="1:4" x14ac:dyDescent="0.25">
      <c r="A10" s="27">
        <v>46180</v>
      </c>
      <c r="B10" s="21">
        <f>IF(ISNUMBER(A10),INDEX(Listas!$A$2:$A$8,WEEKDAY(A10)),"")</f>
      </c>
      <c r="C10" s="25" t="s">
        <v>81</v>
      </c>
      <c r="D10" s="25"/>
    </row>
    <row r="11" spans="1:4" x14ac:dyDescent="0.25">
      <c r="A11" s="27">
        <v>46202</v>
      </c>
      <c r="B11" s="21">
        <f>IF(ISNUMBER(A11),INDEX(Listas!$A$2:$A$8,WEEKDAY(A11)),"")</f>
      </c>
      <c r="C11" s="25" t="s">
        <v>82</v>
      </c>
      <c r="D11" s="25"/>
    </row>
    <row r="12" spans="1:4" x14ac:dyDescent="0.25">
      <c r="A12" s="27">
        <v>46226</v>
      </c>
      <c r="B12" s="21">
        <f>IF(ISNUMBER(A12),INDEX(Listas!$A$2:$A$8,WEEKDAY(A12)),"")</f>
      </c>
      <c r="C12" s="25" t="s">
        <v>83</v>
      </c>
      <c r="D12" s="25"/>
    </row>
    <row r="13" spans="1:4" x14ac:dyDescent="0.25">
      <c r="A13" s="27">
        <v>46231</v>
      </c>
      <c r="B13" s="21">
        <f>IF(ISNUMBER(A13),INDEX(Listas!$A$2:$A$8,WEEKDAY(A13)),"")</f>
      </c>
      <c r="C13" s="25" t="s">
        <v>84</v>
      </c>
      <c r="D13" s="25"/>
    </row>
    <row r="14" spans="1:4" x14ac:dyDescent="0.25">
      <c r="A14" s="27">
        <v>46232</v>
      </c>
      <c r="B14" s="21">
        <f>IF(ISNUMBER(A14),INDEX(Listas!$A$2:$A$8,WEEKDAY(A14)),"")</f>
      </c>
      <c r="C14" s="25" t="s">
        <v>84</v>
      </c>
      <c r="D14" s="25"/>
    </row>
    <row r="15" spans="1:4" x14ac:dyDescent="0.25">
      <c r="A15" s="27">
        <v>46240</v>
      </c>
      <c r="B15" s="21">
        <f>IF(ISNUMBER(A15),INDEX(Listas!$A$2:$A$8,WEEKDAY(A15)),"")</f>
      </c>
      <c r="C15" s="25" t="s">
        <v>85</v>
      </c>
      <c r="D15" s="25"/>
    </row>
    <row r="16" spans="1:4" x14ac:dyDescent="0.25">
      <c r="A16" s="27">
        <v>46264</v>
      </c>
      <c r="B16" s="21">
        <f>IF(ISNUMBER(A16),INDEX(Listas!$A$2:$A$8,WEEKDAY(A16)),"")</f>
      </c>
      <c r="C16" s="25" t="s">
        <v>86</v>
      </c>
      <c r="D16" s="25"/>
    </row>
    <row r="17" spans="1:4" x14ac:dyDescent="0.25">
      <c r="A17" s="27">
        <v>46303</v>
      </c>
      <c r="B17" s="21">
        <f>IF(ISNUMBER(A17),INDEX(Listas!$A$2:$A$8,WEEKDAY(A17)),"")</f>
      </c>
      <c r="C17" s="25" t="s">
        <v>87</v>
      </c>
      <c r="D17" s="25"/>
    </row>
    <row r="18" spans="1:4" x14ac:dyDescent="0.25">
      <c r="A18" s="27">
        <v>46327</v>
      </c>
      <c r="B18" s="21">
        <f>IF(ISNUMBER(A18),INDEX(Listas!$A$2:$A$8,WEEKDAY(A18)),"")</f>
      </c>
      <c r="C18" s="25" t="s">
        <v>88</v>
      </c>
      <c r="D18" s="25"/>
    </row>
    <row r="19" spans="1:4" x14ac:dyDescent="0.25">
      <c r="A19" s="27">
        <v>46364</v>
      </c>
      <c r="B19" s="21">
        <f>IF(ISNUMBER(A19),INDEX(Listas!$A$2:$A$8,WEEKDAY(A19)),"")</f>
      </c>
      <c r="C19" s="25" t="s">
        <v>89</v>
      </c>
      <c r="D19" s="25"/>
    </row>
    <row r="20" spans="1:4" x14ac:dyDescent="0.25">
      <c r="A20" s="27">
        <v>46365</v>
      </c>
      <c r="B20" s="21">
        <f>IF(ISNUMBER(A20),INDEX(Listas!$A$2:$A$8,WEEKDAY(A20)),"")</f>
      </c>
      <c r="C20" s="25" t="s">
        <v>90</v>
      </c>
      <c r="D20" s="25"/>
    </row>
    <row r="21" spans="1:4" x14ac:dyDescent="0.25">
      <c r="A21" s="27">
        <v>46381</v>
      </c>
      <c r="B21" s="21">
        <f>IF(ISNUMBER(A21),INDEX(Listas!$A$2:$A$8,WEEKDAY(A21)),"")</f>
      </c>
      <c r="C21" s="25" t="s">
        <v>91</v>
      </c>
      <c r="D21" s="25"/>
    </row>
    <row r="22" spans="1:4" x14ac:dyDescent="0.25">
      <c r="A22" s="27">
        <v>46388</v>
      </c>
      <c r="B22" s="21">
        <f>IF(ISNUMBER(A22),INDEX(Listas!$A$2:$A$8,WEEKDAY(A22)),"")</f>
      </c>
      <c r="C22" s="25" t="s">
        <v>77</v>
      </c>
      <c r="D22" s="25"/>
    </row>
    <row r="23" spans="1:4" x14ac:dyDescent="0.25">
      <c r="A23" s="27">
        <v>46471</v>
      </c>
      <c r="B23" s="21">
        <f>IF(ISNUMBER(A23),INDEX(Listas!$A$2:$A$8,WEEKDAY(A23)),"")</f>
      </c>
      <c r="C23" s="25" t="s">
        <v>78</v>
      </c>
      <c r="D23" s="25" t="s">
        <v>92</v>
      </c>
    </row>
    <row r="24" spans="1:4" x14ac:dyDescent="0.25">
      <c r="A24" s="27">
        <v>46472</v>
      </c>
      <c r="B24" s="21">
        <f>IF(ISNUMBER(A24),INDEX(Listas!$A$2:$A$8,WEEKDAY(A24)),"")</f>
      </c>
      <c r="C24" s="25" t="s">
        <v>79</v>
      </c>
      <c r="D24" s="25" t="s">
        <v>92</v>
      </c>
    </row>
    <row r="25" spans="1:4" x14ac:dyDescent="0.25">
      <c r="A25" s="27">
        <v>46508</v>
      </c>
      <c r="B25" s="21">
        <f>IF(ISNUMBER(A25),INDEX(Listas!$A$2:$A$8,WEEKDAY(A25)),"")</f>
      </c>
      <c r="C25" s="25" t="s">
        <v>80</v>
      </c>
      <c r="D25" s="25"/>
    </row>
    <row r="26" spans="1:4" x14ac:dyDescent="0.25">
      <c r="A26" s="27">
        <v>46545</v>
      </c>
      <c r="B26" s="21">
        <f>IF(ISNUMBER(A26),INDEX(Listas!$A$2:$A$8,WEEKDAY(A26)),"")</f>
      </c>
      <c r="C26" s="25" t="s">
        <v>81</v>
      </c>
      <c r="D26" s="25"/>
    </row>
    <row r="27" spans="1:4" x14ac:dyDescent="0.25">
      <c r="A27" s="27">
        <v>46567</v>
      </c>
      <c r="B27" s="21">
        <f>IF(ISNUMBER(A27),INDEX(Listas!$A$2:$A$8,WEEKDAY(A27)),"")</f>
      </c>
      <c r="C27" s="25" t="s">
        <v>82</v>
      </c>
      <c r="D27" s="25"/>
    </row>
    <row r="28" spans="1:4" x14ac:dyDescent="0.25">
      <c r="A28" s="27">
        <v>46591</v>
      </c>
      <c r="B28" s="21">
        <f>IF(ISNUMBER(A28),INDEX(Listas!$A$2:$A$8,WEEKDAY(A28)),"")</f>
      </c>
      <c r="C28" s="25" t="s">
        <v>83</v>
      </c>
      <c r="D28" s="25"/>
    </row>
    <row r="29" spans="1:4" x14ac:dyDescent="0.25">
      <c r="A29" s="27">
        <v>46596</v>
      </c>
      <c r="B29" s="21">
        <f>IF(ISNUMBER(A29),INDEX(Listas!$A$2:$A$8,WEEKDAY(A29)),"")</f>
      </c>
      <c r="C29" s="25" t="s">
        <v>84</v>
      </c>
      <c r="D29" s="25"/>
    </row>
    <row r="30" spans="1:4" x14ac:dyDescent="0.25">
      <c r="A30" s="27">
        <v>46597</v>
      </c>
      <c r="B30" s="21">
        <f>IF(ISNUMBER(A30),INDEX(Listas!$A$2:$A$8,WEEKDAY(A30)),"")</f>
      </c>
      <c r="C30" s="25" t="s">
        <v>84</v>
      </c>
      <c r="D30" s="25"/>
    </row>
    <row r="31" spans="1:4" x14ac:dyDescent="0.25">
      <c r="A31" s="27">
        <v>46605</v>
      </c>
      <c r="B31" s="21">
        <f>IF(ISNUMBER(A31),INDEX(Listas!$A$2:$A$8,WEEKDAY(A31)),"")</f>
      </c>
      <c r="C31" s="25" t="s">
        <v>85</v>
      </c>
      <c r="D31" s="25"/>
    </row>
    <row r="32" spans="1:4" x14ac:dyDescent="0.25">
      <c r="A32" s="27">
        <v>46629</v>
      </c>
      <c r="B32" s="21">
        <f>IF(ISNUMBER(A32),INDEX(Listas!$A$2:$A$8,WEEKDAY(A32)),"")</f>
      </c>
      <c r="C32" s="25" t="s">
        <v>86</v>
      </c>
      <c r="D32" s="25"/>
    </row>
    <row r="33" spans="1:4" x14ac:dyDescent="0.25">
      <c r="A33" s="27">
        <v>46668</v>
      </c>
      <c r="B33" s="21">
        <f>IF(ISNUMBER(A33),INDEX(Listas!$A$2:$A$8,WEEKDAY(A33)),"")</f>
      </c>
      <c r="C33" s="25" t="s">
        <v>87</v>
      </c>
      <c r="D33" s="25"/>
    </row>
    <row r="34" spans="1:4" x14ac:dyDescent="0.25">
      <c r="A34" s="27">
        <v>46692</v>
      </c>
      <c r="B34" s="21">
        <f>IF(ISNUMBER(A34),INDEX(Listas!$A$2:$A$8,WEEKDAY(A34)),"")</f>
      </c>
      <c r="C34" s="25" t="s">
        <v>88</v>
      </c>
      <c r="D34" s="25"/>
    </row>
    <row r="35" spans="1:4" x14ac:dyDescent="0.25">
      <c r="A35" s="27">
        <v>46729</v>
      </c>
      <c r="B35" s="21">
        <f>IF(ISNUMBER(A35),INDEX(Listas!$A$2:$A$8,WEEKDAY(A35)),"")</f>
      </c>
      <c r="C35" s="25" t="s">
        <v>89</v>
      </c>
      <c r="D35" s="25"/>
    </row>
    <row r="36" spans="1:4" x14ac:dyDescent="0.25">
      <c r="A36" s="27">
        <v>46730</v>
      </c>
      <c r="B36" s="21">
        <f>IF(ISNUMBER(A36),INDEX(Listas!$A$2:$A$8,WEEKDAY(A36)),"")</f>
      </c>
      <c r="C36" s="25" t="s">
        <v>90</v>
      </c>
      <c r="D36" s="25"/>
    </row>
    <row r="37" spans="1:4" x14ac:dyDescent="0.25">
      <c r="A37" s="27">
        <v>46746</v>
      </c>
      <c r="B37" s="21">
        <f>IF(ISNUMBER(A37),INDEX(Listas!$A$2:$A$8,WEEKDAY(A37)),"")</f>
      </c>
      <c r="C37" s="25" t="s">
        <v>91</v>
      </c>
      <c r="D37" s="25"/>
    </row>
    <row r="38" spans="1:4" x14ac:dyDescent="0.25">
      <c r="A38" s="27"/>
      <c r="B38" s="21">
        <f>IF(ISNUMBER(A38),INDEX(Listas!$A$2:$A$8,WEEKDAY(A38)),"")</f>
      </c>
      <c r="C38" s="25"/>
      <c r="D38" s="25"/>
    </row>
    <row r="39" spans="1:4" x14ac:dyDescent="0.25">
      <c r="A39" s="27"/>
      <c r="B39" s="21">
        <f>IF(ISNUMBER(A39),INDEX(Listas!$A$2:$A$8,WEEKDAY(A39)),"")</f>
      </c>
      <c r="C39" s="25"/>
      <c r="D39" s="25"/>
    </row>
    <row r="40" spans="1:4" x14ac:dyDescent="0.25">
      <c r="A40" s="27"/>
      <c r="B40" s="21">
        <f>IF(ISNUMBER(A40),INDEX(Listas!$A$2:$A$8,WEEKDAY(A40)),"")</f>
      </c>
      <c r="C40" s="25"/>
      <c r="D40" s="25"/>
    </row>
    <row r="41" spans="1:4" x14ac:dyDescent="0.25">
      <c r="A41" s="27"/>
      <c r="B41" s="21">
        <f>IF(ISNUMBER(A41),INDEX(Listas!$A$2:$A$8,WEEKDAY(A41)),"")</f>
      </c>
      <c r="C41" s="25"/>
      <c r="D41" s="25"/>
    </row>
    <row r="42" spans="1:4" x14ac:dyDescent="0.25">
      <c r="A42" s="27"/>
      <c r="B42" s="21">
        <f>IF(ISNUMBER(A42),INDEX(Listas!$A$2:$A$8,WEEKDAY(A42)),"")</f>
      </c>
      <c r="C42" s="25"/>
      <c r="D42" s="25"/>
    </row>
    <row r="43" spans="1:4" x14ac:dyDescent="0.25">
      <c r="A43" s="27"/>
      <c r="B43" s="21">
        <f>IF(ISNUMBER(A43),INDEX(Listas!$A$2:$A$8,WEEKDAY(A43)),"")</f>
      </c>
      <c r="C43" s="25"/>
      <c r="D43" s="25"/>
    </row>
    <row r="44" spans="1:4" x14ac:dyDescent="0.25">
      <c r="A44" s="27"/>
      <c r="B44" s="21">
        <f>IF(ISNUMBER(A44),INDEX(Listas!$A$2:$A$8,WEEKDAY(A44)),"")</f>
      </c>
      <c r="C44" s="25"/>
      <c r="D44" s="25"/>
    </row>
    <row r="45" spans="1:4" x14ac:dyDescent="0.25">
      <c r="A45" s="27"/>
      <c r="B45" s="21">
        <f>IF(ISNUMBER(A45),INDEX(Listas!$A$2:$A$8,WEEKDAY(A45)),"")</f>
      </c>
      <c r="C45" s="25"/>
      <c r="D45" s="25"/>
    </row>
    <row r="46" spans="1:4" x14ac:dyDescent="0.25">
      <c r="A46" s="27"/>
      <c r="B46" s="21">
        <f>IF(ISNUMBER(A46),INDEX(Listas!$A$2:$A$8,WEEKDAY(A46)),"")</f>
      </c>
      <c r="C46" s="25"/>
      <c r="D46" s="25"/>
    </row>
    <row r="47" spans="1:4" x14ac:dyDescent="0.25">
      <c r="A47" s="27"/>
      <c r="B47" s="21">
        <f>IF(ISNUMBER(A47),INDEX(Listas!$A$2:$A$8,WEEKDAY(A47)),"")</f>
      </c>
      <c r="C47" s="25"/>
      <c r="D47" s="25"/>
    </row>
    <row r="48" spans="1:4" x14ac:dyDescent="0.25">
      <c r="A48" s="27"/>
      <c r="B48" s="21">
        <f>IF(ISNUMBER(A48),INDEX(Listas!$A$2:$A$8,WEEKDAY(A48)),"")</f>
      </c>
      <c r="C48" s="25"/>
      <c r="D48" s="25"/>
    </row>
    <row r="49" spans="1:4" x14ac:dyDescent="0.25">
      <c r="A49" s="27"/>
      <c r="B49" s="21">
        <f>IF(ISNUMBER(A49),INDEX(Listas!$A$2:$A$8,WEEKDAY(A49)),"")</f>
      </c>
      <c r="C49" s="25"/>
      <c r="D49" s="25"/>
    </row>
    <row r="51" spans="1:1" x14ac:dyDescent="0.25">
      <c r="A51" s="6" t="s">
        <v>17</v>
      </c>
    </row>
    <row r="52" spans="1:1" x14ac:dyDescent="0.25">
      <c r="A52" s="7" t="s">
        <v>18</v>
      </c>
    </row>
    <row r="53" spans="1:1" x14ac:dyDescent="0.25">
      <c r="A53" s="8" t="s">
        <v>19</v>
      </c>
    </row>
    <row r="54" spans="1:1" x14ac:dyDescent="0.25">
      <c r="A54" s="7" t="s">
        <v>20</v>
      </c>
    </row>
  </sheetData>
  <mergeCells count="3">
    <mergeCell ref="A1:D1"/>
    <mergeCell ref="A2:D2"/>
    <mergeCell ref="A3:D3"/>
  </mergeCells>
  <hyperlinks>
    <hyperlink ref="A53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FormatPr defaultRowHeight="15" outlineLevelRow="0" outlineLevelCol="0" x14ac:dyDescent="55"/>
  <sheetData>
    <row r="1" spans="1:4" x14ac:dyDescent="0.25">
      <c r="A1" t="s">
        <v>41</v>
      </c>
      <c r="B1" t="s">
        <v>93</v>
      </c>
      <c r="C1" t="s">
        <v>94</v>
      </c>
      <c r="D1" t="s">
        <v>36</v>
      </c>
    </row>
    <row r="2" spans="1:4" x14ac:dyDescent="0.25">
      <c r="A2" t="s">
        <v>95</v>
      </c>
      <c r="B2" t="s">
        <v>96</v>
      </c>
      <c r="C2" s="28">
        <v>46023</v>
      </c>
      <c r="D2" t="s">
        <v>37</v>
      </c>
    </row>
    <row r="3" spans="1:4" x14ac:dyDescent="0.25">
      <c r="A3" t="s">
        <v>97</v>
      </c>
      <c r="B3" t="s">
        <v>98</v>
      </c>
      <c r="C3" s="28">
        <v>46054</v>
      </c>
      <c r="D3" t="s">
        <v>52</v>
      </c>
    </row>
    <row r="4" spans="1:4" x14ac:dyDescent="0.25">
      <c r="A4" t="s">
        <v>99</v>
      </c>
      <c r="B4" t="s">
        <v>100</v>
      </c>
      <c r="C4" s="28">
        <v>46082</v>
      </c>
      <c r="D4" t="s">
        <v>54</v>
      </c>
    </row>
    <row r="5" spans="1:4" x14ac:dyDescent="0.25">
      <c r="A5" t="s">
        <v>101</v>
      </c>
      <c r="B5" t="s">
        <v>102</v>
      </c>
      <c r="C5" s="28">
        <v>46113</v>
      </c>
      <c r="D5" t="s">
        <v>56</v>
      </c>
    </row>
    <row r="6" spans="1:4" x14ac:dyDescent="0.25">
      <c r="A6" t="s">
        <v>103</v>
      </c>
      <c r="B6" t="s">
        <v>104</v>
      </c>
      <c r="C6" s="28">
        <v>46143</v>
      </c>
      <c r="D6" t="s">
        <v>58</v>
      </c>
    </row>
    <row r="7" spans="1:4" x14ac:dyDescent="0.25">
      <c r="A7" t="s">
        <v>105</v>
      </c>
      <c r="B7" t="s">
        <v>106</v>
      </c>
      <c r="C7" s="28">
        <v>46174</v>
      </c>
      <c r="D7" t="s">
        <v>60</v>
      </c>
    </row>
    <row r="8" spans="1:4" x14ac:dyDescent="0.25">
      <c r="A8" t="s">
        <v>107</v>
      </c>
      <c r="B8" t="s">
        <v>108</v>
      </c>
      <c r="C8" s="28">
        <v>46204</v>
      </c>
      <c r="D8" t="s">
        <v>62</v>
      </c>
    </row>
    <row r="9" spans="3:4" x14ac:dyDescent="0.25">
      <c r="C9" s="28">
        <v>46235</v>
      </c>
      <c r="D9" t="s">
        <v>64</v>
      </c>
    </row>
    <row r="10" spans="3:4" x14ac:dyDescent="0.25">
      <c r="C10" s="28">
        <v>46266</v>
      </c>
      <c r="D10" t="s">
        <v>66</v>
      </c>
    </row>
    <row r="11" spans="3:4" x14ac:dyDescent="0.25">
      <c r="C11" s="28">
        <v>46296</v>
      </c>
      <c r="D11" t="s">
        <v>68</v>
      </c>
    </row>
    <row r="12" spans="3:4" x14ac:dyDescent="0.25">
      <c r="C12" s="28">
        <v>46327</v>
      </c>
      <c r="D12" t="s">
        <v>70</v>
      </c>
    </row>
    <row r="13" spans="3:4" x14ac:dyDescent="0.25">
      <c r="C13" s="28">
        <v>46357</v>
      </c>
      <c r="D13" t="s">
        <v>72</v>
      </c>
    </row>
    <row r="14" spans="3:3" x14ac:dyDescent="0.25">
      <c r="C14" s="28">
        <v>46388</v>
      </c>
    </row>
    <row r="15" spans="3:3" x14ac:dyDescent="0.25">
      <c r="C15" s="28">
        <v>46419</v>
      </c>
    </row>
    <row r="16" spans="3:3" x14ac:dyDescent="0.25">
      <c r="C16" s="28">
        <v>46447</v>
      </c>
    </row>
    <row r="17" spans="3:3" x14ac:dyDescent="0.25">
      <c r="C17" s="28">
        <v>46478</v>
      </c>
    </row>
    <row r="18" spans="3:3" x14ac:dyDescent="0.25">
      <c r="C18" s="28">
        <v>46508</v>
      </c>
    </row>
    <row r="19" spans="3:3" x14ac:dyDescent="0.25">
      <c r="C19" s="28">
        <v>46539</v>
      </c>
    </row>
    <row r="20" spans="3:3" x14ac:dyDescent="0.25">
      <c r="C20" s="28">
        <v>46569</v>
      </c>
    </row>
    <row r="21" spans="3:3" x14ac:dyDescent="0.25">
      <c r="C21" s="28">
        <v>46600</v>
      </c>
    </row>
    <row r="22" spans="3:3" x14ac:dyDescent="0.25">
      <c r="C22" s="28">
        <v>46631</v>
      </c>
    </row>
    <row r="23" spans="3:3" x14ac:dyDescent="0.25">
      <c r="C23" s="28">
        <v>46661</v>
      </c>
    </row>
    <row r="24" spans="3:3" x14ac:dyDescent="0.25">
      <c r="C24" s="28">
        <v>46692</v>
      </c>
    </row>
    <row r="25" spans="3:3" x14ac:dyDescent="0.25">
      <c r="C25" s="28">
        <v>46722</v>
      </c>
    </row>
    <row r="26" spans="3:3" x14ac:dyDescent="0.25">
      <c r="C26" s="28">
        <v>46753</v>
      </c>
    </row>
    <row r="27" spans="3:3" x14ac:dyDescent="0.25">
      <c r="C27" s="28">
        <v>46784</v>
      </c>
    </row>
    <row r="28" spans="3:3" x14ac:dyDescent="0.25">
      <c r="C28" s="28">
        <v>46813</v>
      </c>
    </row>
    <row r="29" spans="3:3" x14ac:dyDescent="0.25">
      <c r="C29" s="28">
        <v>46844</v>
      </c>
    </row>
    <row r="30" spans="3:3" x14ac:dyDescent="0.25">
      <c r="C30" s="28">
        <v>46874</v>
      </c>
    </row>
    <row r="31" spans="3:3" x14ac:dyDescent="0.25">
      <c r="C31" s="28">
        <v>46905</v>
      </c>
    </row>
    <row r="32" spans="3:3" x14ac:dyDescent="0.25">
      <c r="C32" s="28">
        <v>46935</v>
      </c>
    </row>
    <row r="33" spans="3:3" x14ac:dyDescent="0.25">
      <c r="C33" s="28">
        <v>46966</v>
      </c>
    </row>
    <row r="34" spans="3:3" x14ac:dyDescent="0.25">
      <c r="C34" s="28">
        <v>46997</v>
      </c>
    </row>
    <row r="35" spans="3:3" x14ac:dyDescent="0.25">
      <c r="C35" s="28">
        <v>47027</v>
      </c>
    </row>
    <row r="36" spans="3:3" x14ac:dyDescent="0.25">
      <c r="C36" s="28">
        <v>47058</v>
      </c>
    </row>
    <row r="37" spans="3:3" x14ac:dyDescent="0.25">
      <c r="C37" s="28">
        <v>47088</v>
      </c>
    </row>
    <row r="38" spans="3:3" x14ac:dyDescent="0.25">
      <c r="C38" s="28">
        <v>47119</v>
      </c>
    </row>
    <row r="39" spans="3:3" x14ac:dyDescent="0.25">
      <c r="C39" s="28">
        <v>47150</v>
      </c>
    </row>
    <row r="40" spans="3:3" x14ac:dyDescent="0.25">
      <c r="C40" s="28">
        <v>47178</v>
      </c>
    </row>
    <row r="41" spans="3:3" x14ac:dyDescent="0.25">
      <c r="C41" s="28">
        <v>47209</v>
      </c>
    </row>
    <row r="42" spans="3:3" x14ac:dyDescent="0.25">
      <c r="C42" s="28">
        <v>47239</v>
      </c>
    </row>
    <row r="43" spans="3:3" x14ac:dyDescent="0.25">
      <c r="C43" s="28">
        <v>47270</v>
      </c>
    </row>
    <row r="44" spans="3:3" x14ac:dyDescent="0.25">
      <c r="C44" s="28">
        <v>47300</v>
      </c>
    </row>
    <row r="45" spans="3:3" x14ac:dyDescent="0.25">
      <c r="C45" s="28">
        <v>47331</v>
      </c>
    </row>
    <row r="46" spans="3:3" x14ac:dyDescent="0.25">
      <c r="C46" s="28">
        <v>47362</v>
      </c>
    </row>
    <row r="47" spans="3:3" x14ac:dyDescent="0.25">
      <c r="C47" s="28">
        <v>47392</v>
      </c>
    </row>
    <row r="48" spans="3:3" x14ac:dyDescent="0.25">
      <c r="C48" s="28">
        <v>47423</v>
      </c>
    </row>
    <row r="49" spans="3:3" x14ac:dyDescent="0.25">
      <c r="C49" s="28">
        <v>47453</v>
      </c>
    </row>
    <row r="50" spans="3:3" x14ac:dyDescent="0.25">
      <c r="C50" s="28">
        <v>47484</v>
      </c>
    </row>
    <row r="51" spans="3:3" x14ac:dyDescent="0.25">
      <c r="C51" s="28">
        <v>47515</v>
      </c>
    </row>
    <row r="52" spans="3:3" x14ac:dyDescent="0.25">
      <c r="C52" s="28">
        <v>47543</v>
      </c>
    </row>
    <row r="53" spans="3:3" x14ac:dyDescent="0.25">
      <c r="C53" s="28">
        <v>47574</v>
      </c>
    </row>
    <row r="54" spans="3:3" x14ac:dyDescent="0.25">
      <c r="C54" s="28">
        <v>47604</v>
      </c>
    </row>
    <row r="55" spans="3:3" x14ac:dyDescent="0.25">
      <c r="C55" s="28">
        <v>47635</v>
      </c>
    </row>
    <row r="56" spans="3:3" x14ac:dyDescent="0.25">
      <c r="C56" s="28">
        <v>47665</v>
      </c>
    </row>
    <row r="57" spans="3:3" x14ac:dyDescent="0.25">
      <c r="C57" s="28">
        <v>47696</v>
      </c>
    </row>
    <row r="58" spans="3:3" x14ac:dyDescent="0.25">
      <c r="C58" s="28">
        <v>47727</v>
      </c>
    </row>
    <row r="59" spans="3:3" x14ac:dyDescent="0.25">
      <c r="C59" s="28">
        <v>47757</v>
      </c>
    </row>
    <row r="60" spans="3:3" x14ac:dyDescent="0.25">
      <c r="C60" s="28">
        <v>47788</v>
      </c>
    </row>
    <row r="61" spans="3:3" x14ac:dyDescent="0.25">
      <c r="C61" s="28">
        <v>47818</v>
      </c>
    </row>
    <row r="62" spans="3:3" x14ac:dyDescent="0.25">
      <c r="C62" s="28">
        <v>47849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Instrucciones</vt:lpstr>
      <vt:lpstr>Datos</vt:lpstr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Setiembre</vt:lpstr>
      <vt:lpstr>Octubre</vt:lpstr>
      <vt:lpstr>Noviembre</vt:lpstr>
      <vt:lpstr>Diciembre</vt:lpstr>
      <vt:lpstr>Feriados</vt:lpstr>
      <vt:lpstr>Listas</vt:lpstr>
    </vt:vector>
  </TitlesOfParts>
  <Company>EnTurno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EnTurno</dc:creator>
  <dc:title>Registro de control de asistencia en Excel</dc:title>
  <dc:subject/>
  <dc:description/>
  <cp:keywords/>
  <cp:category/>
  <cp:lastModifiedBy>Unknown</cp:lastModifiedBy>
  <dcterms:created xsi:type="dcterms:W3CDTF">2026-10-09T12:00:00Z</dcterms:created>
  <dcterms:modified xsi:type="dcterms:W3CDTF">2026-10-09T12:00:00Z</dcterms:modified>
</cp:coreProperties>
</file>